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Škola Čakovci-20230104T104815Z-001\Škola Čakovci\FIN. PLAN 2023-2025\"/>
    </mc:Choice>
  </mc:AlternateContent>
  <xr:revisionPtr revIDLastSave="0" documentId="13_ncr:1_{6155077B-E5CC-4C93-8297-189608F47E90}" xr6:coauthVersionLast="47" xr6:coauthVersionMax="47" xr10:uidLastSave="{00000000-0000-0000-0000-000000000000}"/>
  <bookViews>
    <workbookView xWindow="-120" yWindow="-120" windowWidth="29040" windowHeight="15720" tabRatio="807" activeTab="6" xr2:uid="{00000000-000D-0000-FFFF-FFFF00000000}"/>
  </bookViews>
  <sheets>
    <sheet name="SAŽETAK" sheetId="1" r:id="rId1"/>
    <sheet name=" Račun prihoda i rashoda" sheetId="2" r:id="rId2"/>
    <sheet name="Rashodi prema funkcijskoj kl" sheetId="3" r:id="rId3"/>
    <sheet name="Račun financiranja" sheetId="4" r:id="rId4"/>
    <sheet name="POSEBNI DIO" sheetId="5" r:id="rId5"/>
    <sheet name="Obrazloženje promjena " sheetId="6" r:id="rId6"/>
    <sheet name="plan nabave 2023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1" roundtripDataSignature="AMtx7mjV3ADy9oW2jf3oAB3k3lkqsGvzew=="/>
    </ext>
  </extLst>
</workbook>
</file>

<file path=xl/calcChain.xml><?xml version="1.0" encoding="utf-8"?>
<calcChain xmlns="http://schemas.openxmlformats.org/spreadsheetml/2006/main">
  <c r="G48" i="7" l="1"/>
  <c r="G23" i="7"/>
  <c r="G34" i="5"/>
  <c r="G77" i="5"/>
  <c r="G78" i="5"/>
  <c r="D12" i="3"/>
  <c r="G51" i="2"/>
  <c r="G20" i="2" l="1"/>
  <c r="F73" i="5" l="1"/>
  <c r="G73" i="5"/>
  <c r="G72" i="5" s="1"/>
  <c r="G71" i="5" s="1"/>
  <c r="F77" i="5"/>
  <c r="E77" i="5"/>
  <c r="E72" i="5" s="1"/>
  <c r="E71" i="5" s="1"/>
  <c r="E73" i="5"/>
  <c r="G58" i="7"/>
  <c r="G56" i="7"/>
  <c r="G53" i="7"/>
  <c r="G51" i="7"/>
  <c r="G46" i="7"/>
  <c r="G44" i="7"/>
  <c r="G41" i="7"/>
  <c r="G39" i="7"/>
  <c r="G36" i="7"/>
  <c r="G33" i="7"/>
  <c r="G29" i="7"/>
  <c r="G17" i="7"/>
  <c r="F69" i="5"/>
  <c r="F64" i="5" s="1"/>
  <c r="F63" i="5" s="1"/>
  <c r="E69" i="5"/>
  <c r="F67" i="5"/>
  <c r="F65" i="5"/>
  <c r="E65" i="5"/>
  <c r="G64" i="5"/>
  <c r="G63" i="5" s="1"/>
  <c r="E62" i="5"/>
  <c r="E61" i="5" s="1"/>
  <c r="F61" i="5"/>
  <c r="F60" i="5"/>
  <c r="F59" i="5" s="1"/>
  <c r="G59" i="5"/>
  <c r="G58" i="5" s="1"/>
  <c r="G54" i="5" s="1"/>
  <c r="E59" i="5"/>
  <c r="E55" i="5"/>
  <c r="F53" i="5"/>
  <c r="F52" i="5" s="1"/>
  <c r="E53" i="5"/>
  <c r="E52" i="5" s="1"/>
  <c r="G52" i="5"/>
  <c r="F51" i="5"/>
  <c r="F48" i="5" s="1"/>
  <c r="E51" i="5"/>
  <c r="E48" i="5" s="1"/>
  <c r="G48" i="5"/>
  <c r="F44" i="5"/>
  <c r="E44" i="5"/>
  <c r="E40" i="5"/>
  <c r="G37" i="5"/>
  <c r="F37" i="5"/>
  <c r="E37" i="5"/>
  <c r="F35" i="5"/>
  <c r="E35" i="5"/>
  <c r="F34" i="5"/>
  <c r="E34" i="5"/>
  <c r="F33" i="5"/>
  <c r="E33" i="5"/>
  <c r="G32" i="5"/>
  <c r="F24" i="5"/>
  <c r="E24" i="5"/>
  <c r="F22" i="5"/>
  <c r="E22" i="5"/>
  <c r="G17" i="5"/>
  <c r="G16" i="5" s="1"/>
  <c r="F17" i="5"/>
  <c r="E17" i="5"/>
  <c r="E16" i="5" s="1"/>
  <c r="E15" i="5"/>
  <c r="E14" i="5" s="1"/>
  <c r="E13" i="5"/>
  <c r="E12" i="5"/>
  <c r="G11" i="5"/>
  <c r="F11" i="5"/>
  <c r="E11" i="5"/>
  <c r="B12" i="3"/>
  <c r="B11" i="3" s="1"/>
  <c r="B10" i="3" s="1"/>
  <c r="F59" i="2"/>
  <c r="E59" i="2"/>
  <c r="E58" i="2"/>
  <c r="E55" i="2" s="1"/>
  <c r="E54" i="2" s="1"/>
  <c r="F56" i="2"/>
  <c r="G56" i="2" s="1"/>
  <c r="F52" i="2"/>
  <c r="F51" i="2" s="1"/>
  <c r="E52" i="2"/>
  <c r="E51" i="2" s="1"/>
  <c r="F50" i="2"/>
  <c r="E50" i="2"/>
  <c r="E48" i="2" s="1"/>
  <c r="F49" i="2"/>
  <c r="F13" i="5" s="1"/>
  <c r="F46" i="2"/>
  <c r="E46" i="2"/>
  <c r="F45" i="2"/>
  <c r="F44" i="2"/>
  <c r="E44" i="2"/>
  <c r="F43" i="2"/>
  <c r="E43" i="2"/>
  <c r="F42" i="2"/>
  <c r="F12" i="5" s="1"/>
  <c r="F40" i="2"/>
  <c r="F38" i="2" s="1"/>
  <c r="E40" i="2"/>
  <c r="E38" i="2" s="1"/>
  <c r="G38" i="2"/>
  <c r="G28" i="2"/>
  <c r="F29" i="2"/>
  <c r="F28" i="2" s="1"/>
  <c r="E29" i="2"/>
  <c r="E28" i="2" s="1"/>
  <c r="F20" i="2"/>
  <c r="F19" i="2" s="1"/>
  <c r="E19" i="2"/>
  <c r="F17" i="2"/>
  <c r="F16" i="2" s="1"/>
  <c r="E17" i="2"/>
  <c r="E16" i="2" s="1"/>
  <c r="G16" i="2"/>
  <c r="F15" i="2"/>
  <c r="E15" i="2"/>
  <c r="E14" i="2" s="1"/>
  <c r="G14" i="2"/>
  <c r="F14" i="2"/>
  <c r="F13" i="2"/>
  <c r="E13" i="2"/>
  <c r="E11" i="2" s="1"/>
  <c r="F12" i="2"/>
  <c r="F11" i="2" s="1"/>
  <c r="G11" i="2"/>
  <c r="F27" i="1"/>
  <c r="H13" i="1"/>
  <c r="F13" i="1"/>
  <c r="H12" i="1"/>
  <c r="H11" i="1" s="1"/>
  <c r="F12" i="1"/>
  <c r="G11" i="1"/>
  <c r="G14" i="1" s="1"/>
  <c r="H9" i="1"/>
  <c r="H8" i="1" s="1"/>
  <c r="F9" i="1"/>
  <c r="F8" i="1" s="1"/>
  <c r="G8" i="1"/>
  <c r="G47" i="5" l="1"/>
  <c r="G46" i="5" s="1"/>
  <c r="F55" i="2"/>
  <c r="F54" i="2" s="1"/>
  <c r="E10" i="5"/>
  <c r="E32" i="5"/>
  <c r="E31" i="5" s="1"/>
  <c r="F72" i="5"/>
  <c r="F71" i="5" s="1"/>
  <c r="F48" i="2"/>
  <c r="E10" i="2"/>
  <c r="E24" i="2" s="1"/>
  <c r="E41" i="2"/>
  <c r="I13" i="1"/>
  <c r="F41" i="2"/>
  <c r="F11" i="1"/>
  <c r="F14" i="1"/>
  <c r="F10" i="5"/>
  <c r="F58" i="5"/>
  <c r="F54" i="5" s="1"/>
  <c r="F32" i="5"/>
  <c r="F31" i="5" s="1"/>
  <c r="E58" i="5"/>
  <c r="E54" i="5" s="1"/>
  <c r="E64" i="5"/>
  <c r="E63" i="5" s="1"/>
  <c r="E39" i="5"/>
  <c r="F47" i="5"/>
  <c r="F46" i="5" s="1"/>
  <c r="G31" i="5"/>
  <c r="F16" i="5"/>
  <c r="E47" i="5"/>
  <c r="E46" i="5" s="1"/>
  <c r="E37" i="2"/>
  <c r="E61" i="2" s="1"/>
  <c r="E9" i="5"/>
  <c r="H14" i="1"/>
  <c r="F10" i="2"/>
  <c r="F37" i="2"/>
  <c r="G55" i="2"/>
  <c r="G15" i="5"/>
  <c r="G14" i="5" s="1"/>
  <c r="G48" i="2"/>
  <c r="F15" i="5"/>
  <c r="F14" i="5" s="1"/>
  <c r="G10" i="5" l="1"/>
  <c r="G9" i="5" s="1"/>
  <c r="G8" i="5" s="1"/>
  <c r="G7" i="5" s="1"/>
  <c r="F8" i="5"/>
  <c r="F7" i="5" s="1"/>
  <c r="E8" i="5"/>
  <c r="G41" i="2"/>
  <c r="E7" i="5"/>
  <c r="F61" i="2"/>
  <c r="C12" i="3" s="1"/>
  <c r="C11" i="3" s="1"/>
  <c r="C10" i="3" s="1"/>
  <c r="I12" i="1"/>
  <c r="I11" i="1" s="1"/>
  <c r="G37" i="2"/>
  <c r="G54" i="2"/>
  <c r="K13" i="1"/>
  <c r="J13" i="1" s="1"/>
  <c r="I9" i="1"/>
  <c r="I8" i="1" s="1"/>
  <c r="I14" i="1" s="1"/>
  <c r="F24" i="2"/>
  <c r="G19" i="2"/>
  <c r="G10" i="2" s="1"/>
  <c r="G24" i="2" s="1"/>
  <c r="K9" i="1" l="1"/>
  <c r="G61" i="2"/>
  <c r="D11" i="3" s="1"/>
  <c r="D10" i="3" s="1"/>
  <c r="K12" i="1"/>
  <c r="J12" i="1" l="1"/>
  <c r="J11" i="1" s="1"/>
  <c r="K11" i="1"/>
  <c r="J9" i="1"/>
  <c r="J8" i="1" s="1"/>
  <c r="K8" i="1"/>
  <c r="K14" i="1" l="1"/>
  <c r="J14" i="1"/>
</calcChain>
</file>

<file path=xl/sharedStrings.xml><?xml version="1.0" encoding="utf-8"?>
<sst xmlns="http://schemas.openxmlformats.org/spreadsheetml/2006/main" count="449" uniqueCount="261">
  <si>
    <t>I. OPĆI DIO</t>
  </si>
  <si>
    <t>A) SAŽETAK RAČUNA PRIHODA I RASHODA</t>
  </si>
  <si>
    <t>Izvršenje 2021.** KN</t>
  </si>
  <si>
    <t>Izvršenje 2021.**           EUR</t>
  </si>
  <si>
    <t>Plan 2022.**            KN</t>
  </si>
  <si>
    <t>Plan 2022.**      EUR</t>
  </si>
  <si>
    <t xml:space="preserve">Plan za 2023.      KN </t>
  </si>
  <si>
    <t>Plan za 2023.    EUR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</si>
  <si>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</si>
  <si>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</si>
  <si>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</si>
  <si>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</si>
  <si>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</si>
  <si>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</si>
  <si>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</si>
  <si>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B) SAŽETAK RAČUNA FINANCIRANJA</t>
  </si>
  <si>
    <t>Izvršenje 2021.</t>
  </si>
  <si>
    <t>Plan 2022.</t>
  </si>
  <si>
    <t>Plan za 2023.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</si>
  <si>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</si>
  <si>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</si>
  <si>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</si>
  <si>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</si>
  <si>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Izvršenje 2021.  KN</t>
  </si>
  <si>
    <t>Izvršenje 2021. EUR</t>
  </si>
  <si>
    <t xml:space="preserve">Plan 2022.       KN </t>
  </si>
  <si>
    <t>Plan 2022.     EUR</t>
  </si>
  <si>
    <t>UKUPAN DONOS VIŠKA / MANJKA IZ PRETHODNE(IH) GODINE***</t>
  </si>
  <si>
    <t>VIŠAK / MANJAK IZ PRETHODNE(IH) GODINE KOJI ĆE SE RASPOREDITI / POKRITI</t>
  </si>
  <si>
    <t>VIŠAK / MANJAK + NETO FINANCIRANJE</t>
  </si>
  <si>
    <r>
      <rPr>
        <b/>
        <i/>
        <sz val="9"/>
        <color rgb="FF000000"/>
        <rFont val="Arial"/>
        <family val="2"/>
        <charset val="238"/>
      </rP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rgb="FF000000"/>
        <rFont val="Arial"/>
        <family val="2"/>
        <charset val="238"/>
      </rPr>
      <t>u kunama i u eurima</t>
    </r>
    <r>
      <rPr>
        <b/>
        <i/>
        <sz val="9"/>
        <color rgb="FF000000"/>
        <rFont val="Arial"/>
        <family val="2"/>
        <charset val="238"/>
      </rPr>
      <t>.</t>
    </r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</si>
  <si>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</si>
  <si>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</si>
  <si>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 xml:space="preserve">A. RAČUN PRIHODA I RASHODA </t>
  </si>
  <si>
    <t>Razred</t>
  </si>
  <si>
    <t>Skupina</t>
  </si>
  <si>
    <t>Izvor</t>
  </si>
  <si>
    <t>Naziv prihoda</t>
  </si>
  <si>
    <t>Prihodi poslovanja</t>
  </si>
  <si>
    <t>Pomoći iz inozemstva i od subjekata unutar općeg proračuna</t>
  </si>
  <si>
    <t>Pomoći EU</t>
  </si>
  <si>
    <t>Ostale pomoći</t>
  </si>
  <si>
    <t>Prihodi od upravnih i administrativnih pristojbi, pristojbi
po posebnim propisima i nakanda</t>
  </si>
  <si>
    <t>Prihodi za posebne namjene</t>
  </si>
  <si>
    <t>Prihodi od prodaje proizvoda i robe te pruženih usluga i
prihodi od donacija</t>
  </si>
  <si>
    <t>Vlastiti prihodi</t>
  </si>
  <si>
    <t>Donacije</t>
  </si>
  <si>
    <t>Prihodi iz nadležnog proračuna i od HZZO-a temeljem ugovornih obveza</t>
  </si>
  <si>
    <t>Opći prihodi i primici</t>
  </si>
  <si>
    <t>Prihodi od prodaje nefinancijske imovine</t>
  </si>
  <si>
    <t>Prihodi od prodaje proizvedene dugotrajne imovine</t>
  </si>
  <si>
    <t>Ukupni prihodi:</t>
  </si>
  <si>
    <t>Vlatiti izvori</t>
  </si>
  <si>
    <t>Višak prihoda poslovanja</t>
  </si>
  <si>
    <t>RASHODI POSLOVANJA</t>
  </si>
  <si>
    <t>Naziv rashoda</t>
  </si>
  <si>
    <t>Rashodi poslovanja</t>
  </si>
  <si>
    <t>Rashodi za zaposlene</t>
  </si>
  <si>
    <t>Pomoći</t>
  </si>
  <si>
    <t>Materijalni rashodi</t>
  </si>
  <si>
    <t>Financijski rashodi</t>
  </si>
  <si>
    <t>Naknade građanima i kućanstvima na temelju osiguranja i druge naknade</t>
  </si>
  <si>
    <t>Rashodi za nabavu nefinancijske imovine</t>
  </si>
  <si>
    <t>Rashodi za nabavu neproizvedene dugotrajne imovine</t>
  </si>
  <si>
    <t>Ukupni rashodi:</t>
  </si>
  <si>
    <t>RASHODI PREMA FUNKCIJSKOJ KLASIFIKACIJI</t>
  </si>
  <si>
    <t>BROJČANA OZNAKA I NAZIV</t>
  </si>
  <si>
    <t>UKUPNI RASHODI</t>
  </si>
  <si>
    <t>09 Obrazovanje</t>
  </si>
  <si>
    <t>0912 Osnovno obrazovanje</t>
  </si>
  <si>
    <t>096 Dodatne usluge u obrazovanju</t>
  </si>
  <si>
    <t>B. RAČUN FINANCIRANJA</t>
  </si>
  <si>
    <t>Naziv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</si>
  <si>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</si>
  <si>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</si>
  <si>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</si>
  <si>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</si>
  <si>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</si>
  <si>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II. POSEBNI DIO</t>
  </si>
  <si>
    <t>Šifra</t>
  </si>
  <si>
    <t xml:space="preserve">Naziv </t>
  </si>
  <si>
    <t>DJELATNOST USTANOVA OSNOVNIH ŠKOLA</t>
  </si>
  <si>
    <t>A 123001</t>
  </si>
  <si>
    <t>REDOVNA DJELATNOST</t>
  </si>
  <si>
    <t>Izvor financiranja 11</t>
  </si>
  <si>
    <t>Rashodi za nabavu proizvedene dugotrajne imovine</t>
  </si>
  <si>
    <t>Izvor financiranja 31</t>
  </si>
  <si>
    <t>Izvor financiranja 43</t>
  </si>
  <si>
    <t>Izvor financiranja 52</t>
  </si>
  <si>
    <t>Izvor financiranja 61</t>
  </si>
  <si>
    <t>A 123002</t>
  </si>
  <si>
    <t>NABAVA OBRAZOVNIH MATERIJALA</t>
  </si>
  <si>
    <t>A 123003</t>
  </si>
  <si>
    <t>ŠKOLSKA KUHINJA</t>
  </si>
  <si>
    <t>A 123004</t>
  </si>
  <si>
    <t>ERASMUS + PROJEKTI</t>
  </si>
  <si>
    <t>Izvor financiranja 51</t>
  </si>
  <si>
    <t xml:space="preserve">Pomoći </t>
  </si>
  <si>
    <t>REPUBLIKA HRVATSKA</t>
  </si>
  <si>
    <t>OSNOVNA ŠKOLA ČAKOVCI</t>
  </si>
  <si>
    <t>ČAKOVCI</t>
  </si>
  <si>
    <t>Na temelju članka 15. stavak 2. Zakona o javnoj nabavi (NN 120/16), članka 58. Statuta škole, članka 1. Pravilnika o provedbi postupka jednostavne nabave</t>
  </si>
  <si>
    <r>
      <t>te proceduri stvaranja ugovornih obveza Osnovne škole Čakovci, Čakovci, Školski odbor na sjednici održano</t>
    </r>
    <r>
      <rPr>
        <sz val="11"/>
        <rFont val="Calibri"/>
        <family val="2"/>
        <charset val="238"/>
      </rPr>
      <t>j</t>
    </r>
    <r>
      <rPr>
        <sz val="11"/>
        <rFont val="Calibri"/>
        <family val="2"/>
        <charset val="238"/>
      </rPr>
      <t xml:space="preserve">       godine donosi:</t>
    </r>
  </si>
  <si>
    <t>PLAN NABAVE ZA 2023. GODINU</t>
  </si>
  <si>
    <t xml:space="preserve">Red. br.   </t>
  </si>
  <si>
    <t xml:space="preserve">Evidencijski broj nabave </t>
  </si>
  <si>
    <t>Pozicija plana</t>
  </si>
  <si>
    <t>Brojčana oznaka predmeta iz jedinstvenog rječnika javne nabave (CPV nomenklatura)</t>
  </si>
  <si>
    <t>Procijenjena vrij.nab.bez PDV-a</t>
  </si>
  <si>
    <t>Napomena</t>
  </si>
  <si>
    <t>Postupak i način nabave</t>
  </si>
  <si>
    <t>Predmet nabave</t>
  </si>
  <si>
    <t>UREDSKI MATERIJAL I OSTALI MATERIJALNI RASHODI</t>
  </si>
  <si>
    <t>4.</t>
  </si>
  <si>
    <t>04/22-JND</t>
  </si>
  <si>
    <t>Uredski materijal</t>
  </si>
  <si>
    <t>CPV-30192000-1</t>
  </si>
  <si>
    <t>ugovor/narudžbenica</t>
  </si>
  <si>
    <t>jednostavna nabava</t>
  </si>
  <si>
    <t>5.</t>
  </si>
  <si>
    <t>05/22-JND</t>
  </si>
  <si>
    <t>Literatura(publikacije,časopisi,glasila,knjige i ostalo)</t>
  </si>
  <si>
    <t>CPV-22213000-6</t>
  </si>
  <si>
    <t>6.</t>
  </si>
  <si>
    <t>06/22-JND</t>
  </si>
  <si>
    <t>Materijal i sredstva za čišćenje i održavanje</t>
  </si>
  <si>
    <t>CPV-39830000-9</t>
  </si>
  <si>
    <t>7.</t>
  </si>
  <si>
    <t>07/22-JND</t>
  </si>
  <si>
    <t>Materijal za higijenske potrebe i njegu</t>
  </si>
  <si>
    <t>CPV-33760000-5</t>
  </si>
  <si>
    <t>8.</t>
  </si>
  <si>
    <t>08/22-JND</t>
  </si>
  <si>
    <t>Ostali materijal za potrebe redovnog poslovanja</t>
  </si>
  <si>
    <t>CPV-30125110-5</t>
  </si>
  <si>
    <t>MATERIJAL I SIROVINE</t>
  </si>
  <si>
    <t>9.</t>
  </si>
  <si>
    <t>09/22-JND</t>
  </si>
  <si>
    <t>Namirnice za prehranu učenika (kruh i krušni proizvodi)</t>
  </si>
  <si>
    <t>CPV-15810000-9</t>
  </si>
  <si>
    <t>10/22-JND</t>
  </si>
  <si>
    <t>Namirnice za prehranu učenika (mlijeko i mlij. proizvodi)</t>
  </si>
  <si>
    <t>CPV-15500000-3</t>
  </si>
  <si>
    <t>11/22-JND</t>
  </si>
  <si>
    <t>Namirnice za prehranu učenika (mesni proizvodi)</t>
  </si>
  <si>
    <t>CPV-15100000-9</t>
  </si>
  <si>
    <t>12/22-JND</t>
  </si>
  <si>
    <t>Namirnice za prehranu učenika-voće</t>
  </si>
  <si>
    <t>CPV-15300000-1</t>
  </si>
  <si>
    <t>10.</t>
  </si>
  <si>
    <t>13/22-JND</t>
  </si>
  <si>
    <t>Ostali materijali i sirovine</t>
  </si>
  <si>
    <t>CPV-15800000-6</t>
  </si>
  <si>
    <t>ENERGIJA</t>
  </si>
  <si>
    <t>11.</t>
  </si>
  <si>
    <t>14/22-JND</t>
  </si>
  <si>
    <t>Električna energija</t>
  </si>
  <si>
    <t>CPV-09310000-5</t>
  </si>
  <si>
    <t>ugovor</t>
  </si>
  <si>
    <t>postupak provodi Osnivač</t>
  </si>
  <si>
    <t>12.</t>
  </si>
  <si>
    <t>15/22-JND</t>
  </si>
  <si>
    <t>Plin</t>
  </si>
  <si>
    <t>CPV-09121200-5</t>
  </si>
  <si>
    <t>13.</t>
  </si>
  <si>
    <t>16/22-JND</t>
  </si>
  <si>
    <t>Motorni benzin (za košnju)</t>
  </si>
  <si>
    <t>MATERIJAL I DIJELOVI ZA TEK.I INVESTICIJSKO ODRŽAV.</t>
  </si>
  <si>
    <t>14.</t>
  </si>
  <si>
    <t>17/22-JND</t>
  </si>
  <si>
    <t>Materijal i dijelovi za tek. I invest.održ.građevinskih obj.</t>
  </si>
  <si>
    <t>CPV-45262600-7</t>
  </si>
  <si>
    <t>15.</t>
  </si>
  <si>
    <t>18/22-JND</t>
  </si>
  <si>
    <t>Materijali i dijelovi za tek.i invest.održ.postrojenja i opr.</t>
  </si>
  <si>
    <t>SITNI INVENTAR I AUTO GUME</t>
  </si>
  <si>
    <t>16.</t>
  </si>
  <si>
    <t>19/22-JND</t>
  </si>
  <si>
    <t>VOJNA OPREMA</t>
  </si>
  <si>
    <t>SLUŽBENA,RADNA I ZAŠTITNA ODJEĆA I OBUĆA</t>
  </si>
  <si>
    <t>17.</t>
  </si>
  <si>
    <t>20/22-JND</t>
  </si>
  <si>
    <t xml:space="preserve">Službena, radna i zaštitna odjeća i obuća </t>
  </si>
  <si>
    <t>CPV-18110000-3</t>
  </si>
  <si>
    <t>USLUGE TELEFONA,POŠTE I PRIJEVOZA</t>
  </si>
  <si>
    <t>20.</t>
  </si>
  <si>
    <t>23/22-JND</t>
  </si>
  <si>
    <t>Poštarina</t>
  </si>
  <si>
    <t>CPV-64110000-0</t>
  </si>
  <si>
    <t>21.</t>
  </si>
  <si>
    <t>24/22-JND</t>
  </si>
  <si>
    <t>Prijevoz učenika</t>
  </si>
  <si>
    <t>CPV-60000000-8</t>
  </si>
  <si>
    <t>USLUGE TEKUĆEG I INVESTICIJSKOG ODRŽAVANJA</t>
  </si>
  <si>
    <t>22.</t>
  </si>
  <si>
    <t>25/22-JND</t>
  </si>
  <si>
    <t>Usluge tekućeg i inv.održavanja građevinskih objekata</t>
  </si>
  <si>
    <t>CPV-50300000-8</t>
  </si>
  <si>
    <t>KOMUNALNE USLUGE</t>
  </si>
  <si>
    <t>25.</t>
  </si>
  <si>
    <t>28/22-JND</t>
  </si>
  <si>
    <t>Opskrba vodom</t>
  </si>
  <si>
    <t>CPV-65110000-7</t>
  </si>
  <si>
    <t>26.</t>
  </si>
  <si>
    <t>29/22-JND</t>
  </si>
  <si>
    <t>Iznošenje i odvoz smeća (septička)</t>
  </si>
  <si>
    <t>CVP-90440000-3</t>
  </si>
  <si>
    <t>27.</t>
  </si>
  <si>
    <t>30/22-JND</t>
  </si>
  <si>
    <t>Deratizacija i dezinsekcija</t>
  </si>
  <si>
    <t>CVP-90923000-3</t>
  </si>
  <si>
    <t>28.</t>
  </si>
  <si>
    <t>31/22-JND</t>
  </si>
  <si>
    <t>Dimnjačarske i ekološke usluge</t>
  </si>
  <si>
    <t>CVP-98390000-3</t>
  </si>
  <si>
    <t>ZAKUPNINA I NAJAMNINA</t>
  </si>
  <si>
    <t>29.</t>
  </si>
  <si>
    <t>32/22-JND</t>
  </si>
  <si>
    <t>Zakupnine i najamnine za opremu</t>
  </si>
  <si>
    <t>CPV-50313200-4</t>
  </si>
  <si>
    <t>ZDRAVSTVENE I VETERINARSKE USLUGE</t>
  </si>
  <si>
    <t>30.</t>
  </si>
  <si>
    <t>33/22-JND</t>
  </si>
  <si>
    <t>Obvezni i preventivni zdravstveni pregledi zaposlenika</t>
  </si>
  <si>
    <t>CVP-85100000-0</t>
  </si>
  <si>
    <t>31.</t>
  </si>
  <si>
    <t>34/22-JND</t>
  </si>
  <si>
    <t>Laboratorijske usluge</t>
  </si>
  <si>
    <t>CVP-85147000-1</t>
  </si>
  <si>
    <t>narudžbenica</t>
  </si>
  <si>
    <t>PREMIJE OSIGURANJA</t>
  </si>
  <si>
    <t>37.</t>
  </si>
  <si>
    <t>40/22-JND</t>
  </si>
  <si>
    <t>Premije osiguranja ostale imovine</t>
  </si>
  <si>
    <t>CPV-66515200-5</t>
  </si>
  <si>
    <t>KNJIGE,UMJET.DJELA I OST. IZLOŽBENE VRIJED.</t>
  </si>
  <si>
    <t>45.</t>
  </si>
  <si>
    <t>49/22-JND</t>
  </si>
  <si>
    <t>CPV-22113000-5</t>
  </si>
  <si>
    <t xml:space="preserve">                              Ravnateljica</t>
  </si>
  <si>
    <t xml:space="preserve">       Predsjednica Školskog odbora</t>
  </si>
  <si>
    <t>______________________________</t>
  </si>
  <si>
    <t xml:space="preserve">                             Marina Balić</t>
  </si>
  <si>
    <t>Brigitta Vodopić</t>
  </si>
  <si>
    <t>A 123005</t>
  </si>
  <si>
    <t>Eksperimentalni program, OSNOVNA ŠKOLA KAO CJELODNEVNA ŠKOLA:</t>
  </si>
  <si>
    <t>Naknade građanima i kućanstvima</t>
  </si>
  <si>
    <t xml:space="preserve">REBALANS FINANCIJSKOG PLANA OSNOVNA ŠKOLA ČAKOVCI 
ZA 2023. </t>
  </si>
  <si>
    <t>REBALANS FINANCIJSKOG PLANA OSNOVNA ŠKOLA ČAKOVCI  
ZA 2023. I PROJEKCIJA ZA 2024. I 2025. GODINU</t>
  </si>
  <si>
    <t>REBALANS FINANCIJSKOG PLANA OSNOVNA ŠKOLA ČAKOVCI 
ZA 2023.</t>
  </si>
  <si>
    <t>Didaktički materijali i alati</t>
  </si>
  <si>
    <t>1CDŠ-PJN</t>
  </si>
  <si>
    <t>Knjige i radni materijali</t>
  </si>
  <si>
    <t xml:space="preserve">Uredski namještaj i oprema </t>
  </si>
  <si>
    <t>Oprema i postavljanje  klimatizacije</t>
  </si>
  <si>
    <t>Didaktička oprema</t>
  </si>
  <si>
    <t xml:space="preserve">Alati i oprema </t>
  </si>
  <si>
    <t>otvoreni postupak</t>
  </si>
  <si>
    <t>1CDŠ-OP</t>
  </si>
  <si>
    <t>2CDŠ-PJN</t>
  </si>
  <si>
    <t>3CDŠ-PJN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</si>
</sst>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[$€-1]_-;\-* #,##0.00\ [$€-1]_-;_-* &quot;-&quot;??\ [$€-1]_-;_-@_-"/>
    <numFmt numFmtId="165" formatCode="_-* #,##0.00\ _k_n_-;\-* #,##0.00\ _k_n_-;_-* &quot;-&quot;??\ _k_n_-;_-@_-"/>
    <numFmt numFmtId="166" formatCode="_(* #,##0.00_);_(* \(#,##0.00\);_(* &quot;-&quot;??_);_(@_)"/>
  </numFmts>
  <fonts count="37" x14ac:knownFonts="1">
    <font>
      <sz val="11"/>
      <color theme="1"/>
      <name val="Calibri"/>
      <scheme val="minor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i/>
      <sz val="10"/>
      <color theme="1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11"/>
      <color theme="1"/>
      <name val="Calibri"/>
      <family val="2"/>
      <charset val="238"/>
    </font>
    <font>
      <b/>
      <i/>
      <sz val="10"/>
      <color theme="1"/>
      <name val="Arial"/>
      <family val="2"/>
      <charset val="238"/>
    </font>
    <font>
      <i/>
      <sz val="9"/>
      <color rgb="FF1D275C"/>
      <name val="Arial"/>
      <family val="2"/>
      <charset val="238"/>
    </font>
    <font>
      <b/>
      <i/>
      <sz val="11"/>
      <color theme="1"/>
      <name val="Calibri"/>
      <family val="2"/>
      <charset val="238"/>
    </font>
    <font>
      <b/>
      <i/>
      <sz val="10"/>
      <color rgb="FF000000"/>
      <name val="Arial"/>
      <family val="2"/>
      <charset val="238"/>
    </font>
    <font>
      <b/>
      <i/>
      <u/>
      <sz val="9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16"/>
      <name val="Calibri"/>
      <family val="2"/>
      <charset val="238"/>
      <scheme val="minor"/>
    </font>
    <font>
      <sz val="9"/>
      <color indexed="16"/>
      <name val="Calibri"/>
      <family val="2"/>
      <charset val="238"/>
      <scheme val="minor"/>
    </font>
    <font>
      <sz val="10"/>
      <color indexed="8"/>
      <name val="MS Sans Serif"/>
      <charset val="238"/>
    </font>
    <font>
      <sz val="10"/>
      <color theme="1"/>
      <name val="Calibri"/>
      <family val="2"/>
      <charset val="238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rgb="FFD8D8D8"/>
      </patternFill>
    </fill>
    <fill>
      <patternFill patternType="solid">
        <fgColor rgb="FFD0CECE"/>
        <bgColor rgb="FFD0CE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2" fillId="0" borderId="0" applyFont="0" applyFill="0" applyBorder="0" applyAlignment="0" applyProtection="0"/>
    <xf numFmtId="0" fontId="35" fillId="0" borderId="10"/>
  </cellStyleXfs>
  <cellXfs count="18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vertical="center" wrapText="1"/>
    </xf>
    <xf numFmtId="3" fontId="6" fillId="3" borderId="4" xfId="0" applyNumberFormat="1" applyFont="1" applyFill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0" fontId="7" fillId="3" borderId="6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3" fontId="6" fillId="4" borderId="6" xfId="0" applyNumberFormat="1" applyFont="1" applyFill="1" applyBorder="1" applyAlignment="1">
      <alignment horizontal="right"/>
    </xf>
    <xf numFmtId="3" fontId="6" fillId="3" borderId="6" xfId="0" applyNumberFormat="1" applyFont="1" applyFill="1" applyBorder="1" applyAlignment="1">
      <alignment horizontal="right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3" fontId="1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0" fontId="7" fillId="5" borderId="4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4" fontId="3" fillId="5" borderId="9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right"/>
    </xf>
    <xf numFmtId="0" fontId="7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0" fontId="13" fillId="0" borderId="0" xfId="0" applyFont="1"/>
    <xf numFmtId="0" fontId="9" fillId="2" borderId="4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4" xfId="0" quotePrefix="1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left" vertical="center"/>
    </xf>
    <xf numFmtId="0" fontId="14" fillId="5" borderId="4" xfId="0" applyFont="1" applyFill="1" applyBorder="1" applyAlignment="1">
      <alignment horizontal="left" vertical="center"/>
    </xf>
    <xf numFmtId="0" fontId="9" fillId="5" borderId="4" xfId="0" quotePrefix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vertical="center" wrapText="1"/>
    </xf>
    <xf numFmtId="0" fontId="9" fillId="5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left" vertical="center" wrapText="1"/>
    </xf>
    <xf numFmtId="4" fontId="15" fillId="2" borderId="4" xfId="0" applyNumberFormat="1" applyFont="1" applyFill="1" applyBorder="1" applyAlignment="1">
      <alignment horizontal="right"/>
    </xf>
    <xf numFmtId="0" fontId="16" fillId="0" borderId="0" xfId="0" applyFont="1"/>
    <xf numFmtId="0" fontId="14" fillId="2" borderId="10" xfId="0" applyFont="1" applyFill="1" applyBorder="1" applyAlignment="1">
      <alignment horizontal="center" vertical="center" wrapText="1"/>
    </xf>
    <xf numFmtId="4" fontId="15" fillId="2" borderId="10" xfId="0" applyNumberFormat="1" applyFont="1" applyFill="1" applyBorder="1" applyAlignment="1">
      <alignment horizontal="right"/>
    </xf>
    <xf numFmtId="0" fontId="7" fillId="2" borderId="4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right"/>
    </xf>
    <xf numFmtId="0" fontId="5" fillId="0" borderId="0" xfId="0" applyFont="1"/>
    <xf numFmtId="0" fontId="14" fillId="2" borderId="4" xfId="0" applyFont="1" applyFill="1" applyBorder="1" applyAlignment="1">
      <alignment horizontal="center" vertical="center" wrapText="1"/>
    </xf>
    <xf numFmtId="0" fontId="13" fillId="0" borderId="4" xfId="0" applyFont="1" applyBorder="1"/>
    <xf numFmtId="0" fontId="9" fillId="0" borderId="4" xfId="0" applyFont="1" applyBorder="1"/>
    <xf numFmtId="4" fontId="13" fillId="0" borderId="4" xfId="0" applyNumberFormat="1" applyFont="1" applyBorder="1"/>
    <xf numFmtId="0" fontId="17" fillId="2" borderId="4" xfId="0" applyFont="1" applyFill="1" applyBorder="1" applyAlignment="1">
      <alignment horizontal="left" vertical="center" wrapText="1"/>
    </xf>
    <xf numFmtId="4" fontId="15" fillId="2" borderId="9" xfId="0" applyNumberFormat="1" applyFont="1" applyFill="1" applyBorder="1" applyAlignment="1">
      <alignment horizontal="right"/>
    </xf>
    <xf numFmtId="0" fontId="9" fillId="5" borderId="4" xfId="0" quotePrefix="1" applyFont="1" applyFill="1" applyBorder="1" applyAlignment="1">
      <alignment horizontal="left" vertical="center"/>
    </xf>
    <xf numFmtId="0" fontId="14" fillId="5" borderId="4" xfId="0" quotePrefix="1" applyFont="1" applyFill="1" applyBorder="1" applyAlignment="1">
      <alignment horizontal="left" vertical="center"/>
    </xf>
    <xf numFmtId="0" fontId="14" fillId="5" borderId="4" xfId="0" quotePrefix="1" applyFont="1" applyFill="1" applyBorder="1" applyAlignment="1">
      <alignment horizontal="left" vertical="center" wrapText="1"/>
    </xf>
    <xf numFmtId="1" fontId="18" fillId="0" borderId="4" xfId="0" applyNumberFormat="1" applyFont="1" applyBorder="1" applyAlignment="1">
      <alignment horizontal="left" vertical="top" shrinkToFit="1"/>
    </xf>
    <xf numFmtId="0" fontId="14" fillId="0" borderId="4" xfId="0" applyFont="1" applyBorder="1" applyAlignment="1">
      <alignment horizontal="left" vertical="top" wrapText="1"/>
    </xf>
    <xf numFmtId="4" fontId="19" fillId="0" borderId="4" xfId="0" applyNumberFormat="1" applyFont="1" applyBorder="1"/>
    <xf numFmtId="0" fontId="19" fillId="0" borderId="0" xfId="0" applyFont="1"/>
    <xf numFmtId="3" fontId="6" fillId="2" borderId="9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3" fontId="3" fillId="2" borderId="9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0" fontId="14" fillId="2" borderId="4" xfId="0" quotePrefix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3" fontId="3" fillId="3" borderId="9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3" fontId="3" fillId="3" borderId="4" xfId="0" applyNumberFormat="1" applyFont="1" applyFill="1" applyBorder="1" applyAlignment="1">
      <alignment horizontal="right"/>
    </xf>
    <xf numFmtId="0" fontId="6" fillId="2" borderId="8" xfId="0" quotePrefix="1" applyFont="1" applyFill="1" applyBorder="1" applyAlignment="1">
      <alignment horizontal="left" vertical="center" wrapText="1"/>
    </xf>
    <xf numFmtId="4" fontId="13" fillId="3" borderId="4" xfId="0" applyNumberFormat="1" applyFont="1" applyFill="1" applyBorder="1"/>
    <xf numFmtId="0" fontId="5" fillId="0" borderId="4" xfId="0" applyFont="1" applyBorder="1"/>
    <xf numFmtId="0" fontId="13" fillId="3" borderId="4" xfId="0" applyFont="1" applyFill="1" applyBorder="1"/>
    <xf numFmtId="3" fontId="5" fillId="0" borderId="4" xfId="0" applyNumberFormat="1" applyFont="1" applyBorder="1"/>
    <xf numFmtId="3" fontId="13" fillId="3" borderId="4" xfId="0" applyNumberFormat="1" applyFont="1" applyFill="1" applyBorder="1"/>
    <xf numFmtId="4" fontId="5" fillId="0" borderId="4" xfId="0" applyNumberFormat="1" applyFont="1" applyBorder="1"/>
    <xf numFmtId="4" fontId="3" fillId="3" borderId="9" xfId="0" applyNumberFormat="1" applyFont="1" applyFill="1" applyBorder="1" applyAlignment="1">
      <alignment horizontal="right"/>
    </xf>
    <xf numFmtId="4" fontId="3" fillId="3" borderId="4" xfId="0" applyNumberFormat="1" applyFont="1" applyFill="1" applyBorder="1" applyAlignment="1">
      <alignment horizontal="right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0" fillId="6" borderId="0" xfId="0" applyFill="1"/>
    <xf numFmtId="0" fontId="29" fillId="7" borderId="11" xfId="0" applyFont="1" applyFill="1" applyBorder="1" applyAlignment="1">
      <alignment horizontal="center"/>
    </xf>
    <xf numFmtId="0" fontId="29" fillId="8" borderId="11" xfId="0" applyFont="1" applyFill="1" applyBorder="1" applyAlignment="1">
      <alignment horizontal="center"/>
    </xf>
    <xf numFmtId="0" fontId="28" fillId="8" borderId="11" xfId="0" applyFont="1" applyFill="1" applyBorder="1" applyAlignment="1">
      <alignment horizontal="center"/>
    </xf>
    <xf numFmtId="0" fontId="30" fillId="7" borderId="11" xfId="0" applyFont="1" applyFill="1" applyBorder="1"/>
    <xf numFmtId="164" fontId="29" fillId="7" borderId="11" xfId="1" applyNumberFormat="1" applyFont="1" applyFill="1" applyBorder="1" applyAlignment="1">
      <alignment horizontal="right"/>
    </xf>
    <xf numFmtId="43" fontId="29" fillId="7" borderId="11" xfId="1" applyFont="1" applyFill="1" applyBorder="1" applyAlignment="1">
      <alignment horizontal="center" vertical="center"/>
    </xf>
    <xf numFmtId="43" fontId="28" fillId="7" borderId="11" xfId="1" applyFont="1" applyFill="1" applyBorder="1" applyAlignment="1">
      <alignment vertical="center"/>
    </xf>
    <xf numFmtId="0" fontId="28" fillId="0" borderId="11" xfId="0" applyFont="1" applyBorder="1" applyAlignment="1">
      <alignment horizontal="center"/>
    </xf>
    <xf numFmtId="0" fontId="31" fillId="0" borderId="11" xfId="0" applyFont="1" applyBorder="1" applyAlignment="1">
      <alignment wrapText="1"/>
    </xf>
    <xf numFmtId="0" fontId="31" fillId="0" borderId="11" xfId="0" applyFont="1" applyBorder="1"/>
    <xf numFmtId="164" fontId="0" fillId="6" borderId="11" xfId="0" applyNumberFormat="1" applyFill="1" applyBorder="1"/>
    <xf numFmtId="43" fontId="28" fillId="6" borderId="11" xfId="1" applyFont="1" applyFill="1" applyBorder="1" applyAlignment="1">
      <alignment horizontal="center" vertical="center"/>
    </xf>
    <xf numFmtId="43" fontId="28" fillId="0" borderId="11" xfId="1" applyFont="1" applyBorder="1" applyAlignment="1">
      <alignment horizontal="center"/>
    </xf>
    <xf numFmtId="0" fontId="31" fillId="6" borderId="11" xfId="0" applyFont="1" applyFill="1" applyBorder="1" applyAlignment="1">
      <alignment wrapText="1"/>
    </xf>
    <xf numFmtId="164" fontId="29" fillId="7" borderId="11" xfId="0" applyNumberFormat="1" applyFont="1" applyFill="1" applyBorder="1" applyAlignment="1">
      <alignment horizontal="right"/>
    </xf>
    <xf numFmtId="166" fontId="29" fillId="7" borderId="11" xfId="0" applyNumberFormat="1" applyFont="1" applyFill="1" applyBorder="1" applyAlignment="1">
      <alignment horizontal="center" vertical="center"/>
    </xf>
    <xf numFmtId="43" fontId="28" fillId="7" borderId="11" xfId="1" applyFont="1" applyFill="1" applyBorder="1" applyAlignment="1">
      <alignment horizontal="center"/>
    </xf>
    <xf numFmtId="0" fontId="32" fillId="6" borderId="0" xfId="0" applyFont="1" applyFill="1"/>
    <xf numFmtId="0" fontId="28" fillId="6" borderId="11" xfId="0" applyFont="1" applyFill="1" applyBorder="1" applyAlignment="1">
      <alignment horizontal="center"/>
    </xf>
    <xf numFmtId="166" fontId="28" fillId="6" borderId="11" xfId="0" applyNumberFormat="1" applyFont="1" applyFill="1" applyBorder="1" applyAlignment="1">
      <alignment horizontal="center" vertical="center"/>
    </xf>
    <xf numFmtId="43" fontId="28" fillId="0" borderId="11" xfId="1" applyFont="1" applyBorder="1" applyAlignment="1">
      <alignment horizontal="center" wrapText="1"/>
    </xf>
    <xf numFmtId="0" fontId="31" fillId="6" borderId="11" xfId="0" applyFont="1" applyFill="1" applyBorder="1"/>
    <xf numFmtId="16" fontId="28" fillId="0" borderId="11" xfId="0" applyNumberFormat="1" applyFont="1" applyBorder="1" applyAlignment="1">
      <alignment horizontal="center"/>
    </xf>
    <xf numFmtId="43" fontId="28" fillId="0" borderId="11" xfId="1" applyFont="1" applyBorder="1" applyAlignment="1">
      <alignment horizontal="center" vertical="center"/>
    </xf>
    <xf numFmtId="0" fontId="30" fillId="7" borderId="11" xfId="0" applyFont="1" applyFill="1" applyBorder="1" applyAlignment="1">
      <alignment horizontal="left"/>
    </xf>
    <xf numFmtId="165" fontId="29" fillId="7" borderId="11" xfId="0" applyNumberFormat="1" applyFont="1" applyFill="1" applyBorder="1" applyAlignment="1">
      <alignment horizontal="center" vertical="center"/>
    </xf>
    <xf numFmtId="0" fontId="31" fillId="6" borderId="11" xfId="0" applyFont="1" applyFill="1" applyBorder="1" applyAlignment="1">
      <alignment horizontal="left"/>
    </xf>
    <xf numFmtId="43" fontId="28" fillId="7" borderId="11" xfId="1" applyFont="1" applyFill="1" applyBorder="1" applyAlignment="1">
      <alignment horizontal="center" vertical="center"/>
    </xf>
    <xf numFmtId="49" fontId="30" fillId="7" borderId="11" xfId="0" applyNumberFormat="1" applyFont="1" applyFill="1" applyBorder="1" applyAlignment="1">
      <alignment horizontal="left"/>
    </xf>
    <xf numFmtId="0" fontId="29" fillId="6" borderId="11" xfId="0" applyFont="1" applyFill="1" applyBorder="1" applyAlignment="1">
      <alignment horizontal="center"/>
    </xf>
    <xf numFmtId="49" fontId="31" fillId="6" borderId="11" xfId="0" applyNumberFormat="1" applyFont="1" applyFill="1" applyBorder="1"/>
    <xf numFmtId="0" fontId="31" fillId="8" borderId="11" xfId="0" applyFont="1" applyFill="1" applyBorder="1"/>
    <xf numFmtId="43" fontId="28" fillId="8" borderId="11" xfId="1" applyFont="1" applyFill="1" applyBorder="1" applyAlignment="1">
      <alignment horizontal="center"/>
    </xf>
    <xf numFmtId="43" fontId="31" fillId="7" borderId="11" xfId="1" applyFont="1" applyFill="1" applyBorder="1" applyAlignment="1">
      <alignment horizontal="center"/>
    </xf>
    <xf numFmtId="0" fontId="31" fillId="0" borderId="11" xfId="0" applyFont="1" applyBorder="1" applyAlignment="1">
      <alignment horizontal="left"/>
    </xf>
    <xf numFmtId="0" fontId="29" fillId="7" borderId="11" xfId="0" applyFont="1" applyFill="1" applyBorder="1"/>
    <xf numFmtId="0" fontId="32" fillId="0" borderId="0" xfId="0" applyFont="1"/>
    <xf numFmtId="0" fontId="28" fillId="0" borderId="11" xfId="0" applyFont="1" applyBorder="1"/>
    <xf numFmtId="165" fontId="28" fillId="6" borderId="11" xfId="0" applyNumberFormat="1" applyFont="1" applyFill="1" applyBorder="1" applyAlignment="1">
      <alignment horizontal="center" vertical="center"/>
    </xf>
    <xf numFmtId="0" fontId="29" fillId="7" borderId="11" xfId="0" applyFont="1" applyFill="1" applyBorder="1" applyAlignment="1">
      <alignment horizontal="left"/>
    </xf>
    <xf numFmtId="0" fontId="29" fillId="8" borderId="11" xfId="0" applyFont="1" applyFill="1" applyBorder="1"/>
    <xf numFmtId="164" fontId="28" fillId="8" borderId="11" xfId="1" applyNumberFormat="1" applyFont="1" applyFill="1" applyBorder="1" applyAlignment="1">
      <alignment horizontal="right"/>
    </xf>
    <xf numFmtId="43" fontId="28" fillId="8" borderId="11" xfId="1" applyFont="1" applyFill="1" applyBorder="1" applyAlignment="1">
      <alignment horizontal="center" vertical="center"/>
    </xf>
    <xf numFmtId="0" fontId="33" fillId="0" borderId="10" xfId="0" applyFont="1" applyBorder="1" applyAlignment="1">
      <alignment horizontal="center"/>
    </xf>
    <xf numFmtId="0" fontId="33" fillId="0" borderId="10" xfId="0" applyFont="1" applyBorder="1" applyAlignment="1">
      <alignment horizontal="right"/>
    </xf>
    <xf numFmtId="166" fontId="33" fillId="0" borderId="10" xfId="0" applyNumberFormat="1" applyFont="1" applyBorder="1"/>
    <xf numFmtId="43" fontId="33" fillId="0" borderId="10" xfId="1" applyFont="1" applyBorder="1" applyAlignment="1">
      <alignment horizontal="center" vertical="center"/>
    </xf>
    <xf numFmtId="43" fontId="34" fillId="0" borderId="10" xfId="1" applyFont="1" applyBorder="1" applyAlignment="1">
      <alignment horizontal="center"/>
    </xf>
    <xf numFmtId="43" fontId="28" fillId="0" borderId="10" xfId="1" applyFont="1" applyBorder="1" applyAlignment="1">
      <alignment horizontal="left"/>
    </xf>
    <xf numFmtId="43" fontId="28" fillId="0" borderId="10" xfId="1" applyFont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28" fillId="0" borderId="10" xfId="0" applyFont="1" applyBorder="1" applyAlignment="1">
      <alignment horizontal="left"/>
    </xf>
    <xf numFmtId="0" fontId="28" fillId="0" borderId="10" xfId="0" applyFont="1" applyBorder="1" applyAlignment="1">
      <alignment horizontal="center"/>
    </xf>
    <xf numFmtId="4" fontId="0" fillId="0" borderId="0" xfId="0" applyNumberFormat="1"/>
    <xf numFmtId="164" fontId="6" fillId="3" borderId="4" xfId="0" applyNumberFormat="1" applyFont="1" applyFill="1" applyBorder="1" applyAlignment="1">
      <alignment horizontal="right"/>
    </xf>
    <xf numFmtId="164" fontId="6" fillId="2" borderId="9" xfId="0" applyNumberFormat="1" applyFont="1" applyFill="1" applyBorder="1" applyAlignment="1">
      <alignment horizontal="right"/>
    </xf>
    <xf numFmtId="0" fontId="36" fillId="0" borderId="12" xfId="0" applyFont="1" applyBorder="1" applyAlignment="1">
      <alignment horizontal="left" vertical="top"/>
    </xf>
    <xf numFmtId="164" fontId="28" fillId="0" borderId="11" xfId="0" applyNumberFormat="1" applyFont="1" applyBorder="1" applyAlignment="1">
      <alignment horizontal="right"/>
    </xf>
    <xf numFmtId="0" fontId="12" fillId="0" borderId="0" xfId="0" applyFont="1" applyAlignment="1">
      <alignment wrapText="1"/>
    </xf>
    <xf numFmtId="0" fontId="0" fillId="0" borderId="0" xfId="0"/>
    <xf numFmtId="0" fontId="7" fillId="0" borderId="2" xfId="0" quotePrefix="1" applyFont="1" applyBorder="1" applyAlignment="1">
      <alignment horizontal="left" vertical="center"/>
    </xf>
    <xf numFmtId="0" fontId="8" fillId="0" borderId="3" xfId="0" applyFont="1" applyBorder="1"/>
    <xf numFmtId="0" fontId="7" fillId="3" borderId="2" xfId="0" quotePrefix="1" applyFont="1" applyFill="1" applyBorder="1" applyAlignment="1">
      <alignment horizontal="left" vertical="center" wrapText="1"/>
    </xf>
    <xf numFmtId="0" fontId="8" fillId="0" borderId="5" xfId="0" applyFont="1" applyBorder="1"/>
    <xf numFmtId="0" fontId="1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8" xfId="0" applyFont="1" applyBorder="1"/>
    <xf numFmtId="0" fontId="7" fillId="0" borderId="2" xfId="0" quotePrefix="1" applyFont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29" fillId="7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28" fillId="0" borderId="10" xfId="0" applyFont="1" applyBorder="1" applyAlignment="1">
      <alignment horizontal="left" vertical="center" wrapText="1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9" fillId="7" borderId="11" xfId="0" applyFont="1" applyFill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9" fillId="7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3">
    <cellStyle name="Normalno" xfId="0" builtinId="0"/>
    <cellStyle name="Normalno 2" xfId="2" xr:uid="{9F4DC85E-0CED-45A2-A620-6ADF9EF88D56}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1</xdr:row>
      <xdr:rowOff>66674</xdr:rowOff>
    </xdr:from>
    <xdr:ext cx="9010650" cy="3171825"/>
    <xdr:sp macro="" textlink="">
      <xdr:nvSpPr>
        <xdr:cNvPr id="2" name="TekstniOkvir 1">
          <a:extLst>
            <a:ext uri="{FF2B5EF4-FFF2-40B4-BE49-F238E27FC236}">
              <a16:creationId xmlns:a16="http://schemas.microsoft.com/office/drawing/2014/main" id="{38CA069D-E05F-70CF-E23C-B55C284B772A}"/>
            </a:ext>
          </a:extLst>
        </xdr:cNvPr>
        <xdr:cNvSpPr txBox="1"/>
      </xdr:nvSpPr>
      <xdr:spPr>
        <a:xfrm>
          <a:off x="76200" y="257174"/>
          <a:ext cx="9010650" cy="317182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r-HR" sz="1100"/>
            <a:t>Obrazloženje promjena 22.03.2023</a:t>
          </a:r>
          <a:br>
            <a:rPr lang="hr-HR" sz="1100"/>
          </a:br>
          <a:r>
            <a:rPr lang="hr-HR" sz="1100"/>
            <a:t>1. U</a:t>
          </a:r>
          <a:r>
            <a:rPr lang="hr-HR" sz="1100" baseline="0"/>
            <a:t> financijski plan za 2023 godinu unosi se preneseni višak 3047,45 €</a:t>
          </a:r>
          <a:br>
            <a:rPr lang="hr-HR" sz="1100" baseline="0"/>
          </a:br>
          <a:r>
            <a:rPr lang="hr-HR" sz="1100" baseline="0"/>
            <a:t>2.  U posebnom djelu financijskog plana mjenja se izvor financiranja školske kuhinje koju od 01.01.2023 godine financira Ministarstvo </a:t>
          </a:r>
        </a:p>
        <a:p>
          <a:r>
            <a:rPr lang="hr-HR" sz="1100" baseline="0"/>
            <a:t>Obrazloženje promjena 22.10.2023</a:t>
          </a:r>
        </a:p>
        <a:p>
          <a:r>
            <a:rPr lang="hr-HR" sz="1100" baseline="0"/>
            <a:t>Ulaskom u "</a:t>
          </a:r>
          <a:r>
            <a:rPr lang="hr-HR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Eksperimentalni program, OSNOVNA ŠKOLA KAO CJELODNEVNA ŠKOLA</a:t>
          </a:r>
          <a:r>
            <a:rPr lang="hr-H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</a:t>
          </a:r>
          <a:r>
            <a:rPr lang="hr-H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Osnovnoj školi Čakovci odobren je iznos od 160.680,00 €. Iskorištavanje sredstava planirano je djelom u 2023. godini a djelom u 2024. godini. Uz najavu od strane MZO   "malih darovnica"  u iznosu od 20.000,00 € te dodatnih 10.000,00 € za pokriće neplaniranih rashoda vezanih za CDŠ u plan su uvršeteni prihodi i rashodi po toj osnovi. S obzirom na manjak uputa od strane ministarstva u ovom trenutku sredstva su planirana u okviru izvora 52 Pomoći, a u posebnom dijelu rashodi za projekt CDŠ za 2023 godinu Prikazani su pod šifrom aktivnosti </a:t>
          </a:r>
          <a:r>
            <a:rPr lang="hr-HR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123005</a:t>
          </a:r>
          <a:r>
            <a:rPr lang="hr-HR"/>
            <a:t> </a:t>
          </a:r>
          <a:r>
            <a:rPr lang="hr-HR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Eksperimentalni program, OSNOVNA ŠKOLA KAO CJELODNEVNA ŠKOLA.</a:t>
          </a:r>
        </a:p>
        <a:p>
          <a:r>
            <a:rPr lang="hr-HR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Sudjelovanjem</a:t>
          </a:r>
          <a:r>
            <a:rPr lang="hr-HR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u eksperimentalnom programu rashodi za zaposlene se povećavaju pa su tako prihodi izvora 52 Pomoći dodatno povećani. u skladu sa povećanjem rashoda na skupini 31.</a:t>
          </a:r>
        </a:p>
        <a:p>
          <a:r>
            <a:rPr lang="hr-HR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Povećani su i rashodi održavanja školskih objekata usljed prirodne nepogode koja je oštetila zgrade područnih škola, sukladno tome povećane su i stavke prihoda. </a:t>
          </a:r>
        </a:p>
        <a:p>
          <a:r>
            <a:rPr lang="hr-HR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Usljde novih izmjena i promjena temeljnog kolektivnog ugovora za zaposlenike u javnim službama, povećani su rashodi za plaće i naknade djelatnicima. Temelj za povećanje rashoda i prihoda po toj onovi su pregovori Vlade i Sindikata. </a:t>
          </a:r>
        </a:p>
        <a:p>
          <a:endParaRPr lang="hr-HR" sz="1100" b="0"/>
        </a:p>
      </xdr:txBody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0"/>
  <sheetViews>
    <sheetView workbookViewId="0">
      <selection activeCell="F21" sqref="F21"/>
    </sheetView>
  </sheetViews>
  <sheetFormatPr defaultColWidth="14.42578125" defaultRowHeight="15" customHeight="1" x14ac:dyDescent="0.25"/>
  <cols>
    <col min="1" max="4" width="8.7109375" customWidth="1"/>
    <col min="5" max="5" width="8.42578125" customWidth="1"/>
    <col min="6" max="6" width="16.85546875" customWidth="1"/>
    <col min="7" max="8" width="14.85546875" customWidth="1"/>
    <col min="9" max="9" width="14" customWidth="1"/>
    <col min="10" max="10" width="16.7109375" customWidth="1"/>
    <col min="11" max="11" width="15.5703125" customWidth="1"/>
    <col min="12" max="22" width="8.7109375" customWidth="1"/>
  </cols>
  <sheetData>
    <row r="1" spans="1:11" ht="42" customHeight="1" x14ac:dyDescent="0.25">
      <c r="A1" s="166" t="s">
        <v>247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18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4.25" customHeight="1" x14ac:dyDescent="0.25">
      <c r="A3" s="166" t="s">
        <v>0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1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8" customHeight="1" x14ac:dyDescent="0.25">
      <c r="A5" s="166" t="s">
        <v>1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</row>
    <row r="6" spans="1:11" ht="14.25" customHeight="1" x14ac:dyDescent="0.25">
      <c r="A6" s="2"/>
      <c r="B6" s="3"/>
      <c r="C6" s="3"/>
      <c r="D6" s="3"/>
      <c r="E6" s="4"/>
      <c r="F6" s="5"/>
      <c r="G6" s="5"/>
      <c r="H6" s="5"/>
      <c r="I6" s="5"/>
      <c r="J6" s="5"/>
      <c r="K6" s="5"/>
    </row>
    <row r="7" spans="1:11" ht="24" customHeight="1" x14ac:dyDescent="0.25">
      <c r="A7" s="6"/>
      <c r="B7" s="7"/>
      <c r="C7" s="7"/>
      <c r="D7" s="8"/>
      <c r="E7" s="9"/>
      <c r="F7" s="10" t="s">
        <v>2</v>
      </c>
      <c r="G7" s="10" t="s">
        <v>3</v>
      </c>
      <c r="H7" s="10" t="s">
        <v>4</v>
      </c>
      <c r="I7" s="10" t="s">
        <v>5</v>
      </c>
      <c r="J7" s="10" t="s">
        <v>6</v>
      </c>
      <c r="K7" s="10" t="s">
        <v>7</v>
      </c>
    </row>
    <row r="8" spans="1:11" ht="14.25" customHeight="1" x14ac:dyDescent="0.25">
      <c r="A8" s="172" t="s">
        <v>8</v>
      </c>
      <c r="B8" s="163"/>
      <c r="C8" s="163"/>
      <c r="D8" s="163"/>
      <c r="E8" s="165"/>
      <c r="F8" s="11">
        <f t="shared" ref="F8:K8" si="0">SUM(F9:F10)</f>
        <v>3701753.0435700002</v>
      </c>
      <c r="G8" s="11">
        <f t="shared" si="0"/>
        <v>491307.06</v>
      </c>
      <c r="H8" s="11">
        <f t="shared" si="0"/>
        <v>3611999.9699100005</v>
      </c>
      <c r="I8" s="11">
        <f t="shared" si="0"/>
        <v>575095.89222907962</v>
      </c>
      <c r="J8" s="11">
        <f t="shared" si="0"/>
        <v>7256754.1442550011</v>
      </c>
      <c r="K8" s="11">
        <f t="shared" si="0"/>
        <v>963136.79</v>
      </c>
    </row>
    <row r="9" spans="1:11" ht="14.25" customHeight="1" x14ac:dyDescent="0.25">
      <c r="A9" s="167" t="s">
        <v>9</v>
      </c>
      <c r="B9" s="163"/>
      <c r="C9" s="163"/>
      <c r="D9" s="163"/>
      <c r="E9" s="163"/>
      <c r="F9" s="12">
        <f>491307.06*7.5345</f>
        <v>3701753.0435700002</v>
      </c>
      <c r="G9" s="12">
        <v>491307.06</v>
      </c>
      <c r="H9" s="12">
        <f>479394.78*7.5345</f>
        <v>3611999.9699100005</v>
      </c>
      <c r="I9" s="12">
        <f>' Račun prihoda i rashoda'!F10</f>
        <v>575095.89222907962</v>
      </c>
      <c r="J9" s="12">
        <f>K9*7.5345</f>
        <v>7256754.1442550011</v>
      </c>
      <c r="K9" s="12">
        <f>' Račun prihoda i rashoda'!G10</f>
        <v>963136.79</v>
      </c>
    </row>
    <row r="10" spans="1:11" ht="14.25" customHeight="1" x14ac:dyDescent="0.25">
      <c r="A10" s="162" t="s">
        <v>10</v>
      </c>
      <c r="B10" s="163"/>
      <c r="C10" s="163"/>
      <c r="D10" s="163"/>
      <c r="E10" s="163"/>
      <c r="F10" s="12"/>
      <c r="G10" s="12"/>
      <c r="H10" s="12"/>
      <c r="I10" s="12"/>
      <c r="J10" s="12"/>
      <c r="K10" s="12"/>
    </row>
    <row r="11" spans="1:11" ht="14.25" customHeight="1" x14ac:dyDescent="0.25">
      <c r="A11" s="13" t="s">
        <v>11</v>
      </c>
      <c r="B11" s="14"/>
      <c r="C11" s="14"/>
      <c r="D11" s="14"/>
      <c r="E11" s="14"/>
      <c r="F11" s="11">
        <f t="shared" ref="F11:K11" si="1">SUM(F12:F13)</f>
        <v>3710793.0120150005</v>
      </c>
      <c r="G11" s="11">
        <f t="shared" si="1"/>
        <v>492506.87</v>
      </c>
      <c r="H11" s="11">
        <f t="shared" si="1"/>
        <v>3611999.96991</v>
      </c>
      <c r="I11" s="11">
        <f t="shared" si="1"/>
        <v>575095.8922290795</v>
      </c>
      <c r="J11" s="11">
        <f t="shared" si="1"/>
        <v>7279715.1920250002</v>
      </c>
      <c r="K11" s="156">
        <f t="shared" si="1"/>
        <v>966184.24474417686</v>
      </c>
    </row>
    <row r="12" spans="1:11" ht="14.25" customHeight="1" x14ac:dyDescent="0.25">
      <c r="A12" s="169" t="s">
        <v>12</v>
      </c>
      <c r="B12" s="163"/>
      <c r="C12" s="163"/>
      <c r="D12" s="163"/>
      <c r="E12" s="163"/>
      <c r="F12" s="12">
        <f>487182.51*7.5345</f>
        <v>3670676.6215950004</v>
      </c>
      <c r="G12" s="12">
        <v>487182.51</v>
      </c>
      <c r="H12" s="12">
        <f>474085.87*7.5345</f>
        <v>3571999.9875150002</v>
      </c>
      <c r="I12" s="12">
        <f>' Račun prihoda i rashoda'!F37</f>
        <v>569123.36585042137</v>
      </c>
      <c r="J12" s="12">
        <f t="shared" ref="J12:J13" si="2">K12*7.5345</f>
        <v>6646741.3592100004</v>
      </c>
      <c r="K12" s="12">
        <f>' Račun prihoda i rashoda'!G37</f>
        <v>882174.18</v>
      </c>
    </row>
    <row r="13" spans="1:11" ht="14.25" customHeight="1" x14ac:dyDescent="0.25">
      <c r="A13" s="162" t="s">
        <v>13</v>
      </c>
      <c r="B13" s="163"/>
      <c r="C13" s="163"/>
      <c r="D13" s="163"/>
      <c r="E13" s="163"/>
      <c r="F13" s="12">
        <f>5324.36*7.5345</f>
        <v>40116.390420000003</v>
      </c>
      <c r="G13" s="12">
        <v>5324.36</v>
      </c>
      <c r="H13" s="12">
        <f>5308.91*7.5345</f>
        <v>39999.982394999999</v>
      </c>
      <c r="I13" s="12">
        <f>' Račun prihoda i rashoda'!F55</f>
        <v>5972.5263786581718</v>
      </c>
      <c r="J13" s="12">
        <f t="shared" si="2"/>
        <v>632973.83281500009</v>
      </c>
      <c r="K13" s="12">
        <f>' Račun prihoda i rashoda'!G55</f>
        <v>84010.064744176794</v>
      </c>
    </row>
    <row r="14" spans="1:11" ht="14.25" customHeight="1" x14ac:dyDescent="0.25">
      <c r="A14" s="164" t="s">
        <v>14</v>
      </c>
      <c r="B14" s="163"/>
      <c r="C14" s="163"/>
      <c r="D14" s="163"/>
      <c r="E14" s="165"/>
      <c r="F14" s="11">
        <f t="shared" ref="F14:K14" si="3">F8-F11</f>
        <v>-9039.9684450002387</v>
      </c>
      <c r="G14" s="11">
        <f t="shared" si="3"/>
        <v>-1199.8099999999977</v>
      </c>
      <c r="H14" s="11">
        <f t="shared" si="3"/>
        <v>0</v>
      </c>
      <c r="I14" s="11">
        <f t="shared" si="3"/>
        <v>0</v>
      </c>
      <c r="J14" s="11">
        <f t="shared" si="3"/>
        <v>-22961.047769999132</v>
      </c>
      <c r="K14" s="11">
        <f t="shared" si="3"/>
        <v>-3047.4547441768227</v>
      </c>
    </row>
    <row r="15" spans="1:11" ht="14.25" customHeight="1" x14ac:dyDescent="0.25">
      <c r="A15" s="1"/>
      <c r="B15" s="15"/>
      <c r="C15" s="15"/>
      <c r="D15" s="15"/>
      <c r="E15" s="15"/>
      <c r="F15" s="15"/>
      <c r="G15" s="15"/>
      <c r="H15" s="15"/>
      <c r="I15" s="15"/>
      <c r="J15" s="16"/>
      <c r="K15" s="16"/>
    </row>
    <row r="16" spans="1:11" ht="18" customHeight="1" x14ac:dyDescent="0.25">
      <c r="A16" s="166" t="s">
        <v>15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</row>
    <row r="17" spans="1:11" ht="14.25" customHeight="1" x14ac:dyDescent="0.25">
      <c r="A17" s="1"/>
      <c r="B17" s="15"/>
      <c r="C17" s="15"/>
      <c r="D17" s="15"/>
      <c r="E17" s="15"/>
      <c r="F17" s="15"/>
      <c r="G17" s="15"/>
      <c r="H17" s="15"/>
      <c r="I17" s="15"/>
      <c r="J17" s="16"/>
      <c r="K17" s="16"/>
    </row>
    <row r="18" spans="1:11" ht="14.25" customHeight="1" x14ac:dyDescent="0.25">
      <c r="A18" s="6"/>
      <c r="B18" s="7"/>
      <c r="C18" s="7"/>
      <c r="D18" s="8"/>
      <c r="E18" s="9"/>
      <c r="F18" s="10" t="s">
        <v>16</v>
      </c>
      <c r="G18" s="10" t="s">
        <v>16</v>
      </c>
      <c r="H18" s="10" t="s">
        <v>17</v>
      </c>
      <c r="I18" s="10" t="s">
        <v>17</v>
      </c>
      <c r="J18" s="10" t="s">
        <v>18</v>
      </c>
      <c r="K18" s="10" t="s">
        <v>18</v>
      </c>
    </row>
    <row r="19" spans="1:11" ht="31.5" customHeight="1" x14ac:dyDescent="0.25">
      <c r="A19" s="167" t="s">
        <v>19</v>
      </c>
      <c r="B19" s="163"/>
      <c r="C19" s="163"/>
      <c r="D19" s="163"/>
      <c r="E19" s="168"/>
      <c r="F19" s="12"/>
      <c r="G19" s="12"/>
      <c r="H19" s="12"/>
      <c r="I19" s="12"/>
      <c r="J19" s="12"/>
      <c r="K19" s="12"/>
    </row>
    <row r="20" spans="1:11" ht="22.5" customHeight="1" x14ac:dyDescent="0.25">
      <c r="A20" s="167" t="s">
        <v>20</v>
      </c>
      <c r="B20" s="163"/>
      <c r="C20" s="163"/>
      <c r="D20" s="163"/>
      <c r="E20" s="163"/>
      <c r="F20" s="12"/>
      <c r="G20" s="12"/>
      <c r="H20" s="12"/>
      <c r="I20" s="12"/>
      <c r="J20" s="12"/>
      <c r="K20" s="12"/>
    </row>
    <row r="21" spans="1:11" ht="21" customHeight="1" x14ac:dyDescent="0.25">
      <c r="A21" s="164" t="s">
        <v>21</v>
      </c>
      <c r="B21" s="163"/>
      <c r="C21" s="163"/>
      <c r="D21" s="163"/>
      <c r="E21" s="165"/>
      <c r="F21" s="11">
        <v>0</v>
      </c>
      <c r="G21" s="11"/>
      <c r="H21" s="11">
        <v>0</v>
      </c>
      <c r="I21" s="11"/>
      <c r="J21" s="11">
        <v>0</v>
      </c>
      <c r="K21" s="11"/>
    </row>
    <row r="22" spans="1:11" ht="14.25" customHeight="1" x14ac:dyDescent="0.25">
      <c r="A22" s="1"/>
      <c r="B22" s="15"/>
      <c r="C22" s="15"/>
      <c r="D22" s="15"/>
      <c r="E22" s="15"/>
      <c r="F22" s="15"/>
      <c r="G22" s="15"/>
      <c r="H22" s="15"/>
      <c r="I22" s="15"/>
      <c r="J22" s="16"/>
      <c r="K22" s="16"/>
    </row>
    <row r="23" spans="1:11" ht="18" customHeight="1" x14ac:dyDescent="0.25">
      <c r="A23" s="166" t="s">
        <v>22</v>
      </c>
      <c r="B23" s="161"/>
      <c r="C23" s="161"/>
      <c r="D23" s="161"/>
      <c r="E23" s="161"/>
      <c r="F23" s="161"/>
      <c r="G23" s="161"/>
      <c r="H23" s="161"/>
      <c r="I23" s="161"/>
      <c r="J23" s="161"/>
      <c r="K23" s="161"/>
    </row>
    <row r="24" spans="1:11" ht="14.25" customHeight="1" x14ac:dyDescent="0.25">
      <c r="A24" s="1"/>
      <c r="B24" s="15"/>
      <c r="C24" s="15"/>
      <c r="D24" s="15"/>
      <c r="E24" s="15"/>
      <c r="F24" s="15"/>
      <c r="G24" s="15"/>
      <c r="H24" s="15"/>
      <c r="I24" s="15"/>
      <c r="J24" s="16"/>
      <c r="K24" s="16"/>
    </row>
    <row r="25" spans="1:11" ht="30.75" customHeight="1" x14ac:dyDescent="0.25">
      <c r="A25" s="6"/>
      <c r="B25" s="7"/>
      <c r="C25" s="7"/>
      <c r="D25" s="8"/>
      <c r="E25" s="9"/>
      <c r="F25" s="10" t="s">
        <v>23</v>
      </c>
      <c r="G25" s="10" t="s">
        <v>24</v>
      </c>
      <c r="H25" s="10" t="s">
        <v>25</v>
      </c>
      <c r="I25" s="10" t="s">
        <v>26</v>
      </c>
      <c r="J25" s="10" t="s">
        <v>18</v>
      </c>
      <c r="K25" s="10" t="s">
        <v>18</v>
      </c>
    </row>
    <row r="26" spans="1:11" ht="23.25" customHeight="1" x14ac:dyDescent="0.25">
      <c r="A26" s="170" t="s">
        <v>27</v>
      </c>
      <c r="B26" s="163"/>
      <c r="C26" s="163"/>
      <c r="D26" s="163"/>
      <c r="E26" s="168"/>
      <c r="F26" s="17"/>
      <c r="G26" s="17"/>
      <c r="H26" s="17"/>
      <c r="I26" s="17"/>
      <c r="J26" s="17"/>
      <c r="K26" s="17"/>
    </row>
    <row r="27" spans="1:11" ht="30" customHeight="1" x14ac:dyDescent="0.25">
      <c r="A27" s="171" t="s">
        <v>28</v>
      </c>
      <c r="B27" s="163"/>
      <c r="C27" s="163"/>
      <c r="D27" s="163"/>
      <c r="E27" s="168"/>
      <c r="F27" s="18">
        <f>1199.82*7.5345</f>
        <v>9040.0437899999997</v>
      </c>
      <c r="G27" s="18">
        <v>1199.82</v>
      </c>
      <c r="H27" s="18"/>
      <c r="I27" s="18"/>
      <c r="J27" s="18">
        <v>22961.99</v>
      </c>
      <c r="K27" s="18">
        <v>3047.45</v>
      </c>
    </row>
    <row r="28" spans="1:11" ht="14.25" customHeight="1" x14ac:dyDescent="0.25"/>
    <row r="29" spans="1:11" ht="14.25" customHeight="1" x14ac:dyDescent="0.25"/>
    <row r="30" spans="1:11" ht="14.25" customHeight="1" x14ac:dyDescent="0.25">
      <c r="A30" s="169" t="s">
        <v>29</v>
      </c>
      <c r="B30" s="163"/>
      <c r="C30" s="163"/>
      <c r="D30" s="163"/>
      <c r="E30" s="163"/>
      <c r="F30" s="12">
        <v>0</v>
      </c>
      <c r="G30" s="12"/>
      <c r="H30" s="12">
        <v>0</v>
      </c>
      <c r="I30" s="12"/>
      <c r="J30" s="12">
        <v>0</v>
      </c>
      <c r="K30" s="12"/>
    </row>
    <row r="31" spans="1:11" ht="11.25" customHeight="1" x14ac:dyDescent="0.25">
      <c r="A31" s="19"/>
      <c r="B31" s="20"/>
      <c r="C31" s="20"/>
      <c r="D31" s="20"/>
      <c r="E31" s="20"/>
      <c r="F31" s="21"/>
      <c r="G31" s="21"/>
      <c r="H31" s="21"/>
      <c r="I31" s="21"/>
      <c r="J31" s="21"/>
      <c r="K31" s="21"/>
    </row>
    <row r="32" spans="1:11" ht="29.25" customHeight="1" x14ac:dyDescent="0.25">
      <c r="A32" s="160" t="s">
        <v>30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</row>
    <row r="33" spans="1:11" ht="8.25" customHeight="1" x14ac:dyDescent="0.25"/>
    <row r="34" spans="1:11" ht="14.25" customHeight="1" x14ac:dyDescent="0.25">
      <c r="A34" s="160" t="s">
        <v>31</v>
      </c>
      <c r="B34" s="161"/>
      <c r="C34" s="161"/>
      <c r="D34" s="161"/>
      <c r="E34" s="161"/>
      <c r="F34" s="161"/>
      <c r="G34" s="161"/>
      <c r="H34" s="161"/>
      <c r="I34" s="161"/>
      <c r="J34" s="161"/>
      <c r="K34" s="161"/>
    </row>
    <row r="35" spans="1:11" ht="8.25" customHeight="1" x14ac:dyDescent="0.25"/>
    <row r="36" spans="1:11" ht="29.25" customHeight="1" x14ac:dyDescent="0.25">
      <c r="A36" s="160" t="s">
        <v>32</v>
      </c>
      <c r="B36" s="161"/>
      <c r="C36" s="161"/>
      <c r="D36" s="161"/>
      <c r="E36" s="161"/>
      <c r="F36" s="161"/>
      <c r="G36" s="161"/>
      <c r="H36" s="161"/>
      <c r="I36" s="161"/>
      <c r="J36" s="161"/>
      <c r="K36" s="161"/>
    </row>
    <row r="37" spans="1:11" ht="14.25" customHeight="1" x14ac:dyDescent="0.25"/>
    <row r="38" spans="1:11" ht="14.25" customHeight="1" x14ac:dyDescent="0.25"/>
    <row r="39" spans="1:11" ht="14.25" customHeight="1" x14ac:dyDescent="0.25"/>
    <row r="40" spans="1:11" ht="14.25" customHeight="1" x14ac:dyDescent="0.25"/>
    <row r="41" spans="1:11" ht="14.25" customHeight="1" x14ac:dyDescent="0.25"/>
    <row r="42" spans="1:11" ht="14.25" customHeight="1" x14ac:dyDescent="0.25"/>
    <row r="43" spans="1:11" ht="14.25" customHeight="1" x14ac:dyDescent="0.25"/>
    <row r="44" spans="1:11" ht="14.25" customHeight="1" x14ac:dyDescent="0.25"/>
    <row r="45" spans="1:11" ht="14.25" customHeight="1" x14ac:dyDescent="0.25"/>
    <row r="46" spans="1:11" ht="14.25" customHeight="1" x14ac:dyDescent="0.25"/>
    <row r="47" spans="1:11" ht="14.25" customHeight="1" x14ac:dyDescent="0.25"/>
    <row r="48" spans="1:11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0">
    <mergeCell ref="A1:K1"/>
    <mergeCell ref="A3:K3"/>
    <mergeCell ref="A5:K5"/>
    <mergeCell ref="A8:E8"/>
    <mergeCell ref="A9:E9"/>
    <mergeCell ref="A10:E10"/>
    <mergeCell ref="A12:E12"/>
    <mergeCell ref="A26:E26"/>
    <mergeCell ref="A27:E27"/>
    <mergeCell ref="A30:E30"/>
    <mergeCell ref="A32:K32"/>
    <mergeCell ref="A34:K34"/>
    <mergeCell ref="A36:K36"/>
    <mergeCell ref="A13:E13"/>
    <mergeCell ref="A14:E14"/>
    <mergeCell ref="A16:K16"/>
    <mergeCell ref="A19:E19"/>
    <mergeCell ref="A20:E20"/>
    <mergeCell ref="A21:E21"/>
    <mergeCell ref="A23:K23"/>
  </mergeCells>
  <pageMargins left="0.7" right="0.7" top="0.75" bottom="0.75" header="0" footer="0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001"/>
  <sheetViews>
    <sheetView workbookViewId="0">
      <selection activeCell="H23" sqref="H23"/>
    </sheetView>
  </sheetViews>
  <sheetFormatPr defaultColWidth="14.42578125" defaultRowHeight="15" customHeight="1" x14ac:dyDescent="0.25"/>
  <cols>
    <col min="1" max="1" width="7.42578125" customWidth="1"/>
    <col min="2" max="2" width="8.42578125" customWidth="1"/>
    <col min="3" max="3" width="5.42578125" customWidth="1"/>
    <col min="4" max="7" width="25.28515625" customWidth="1"/>
    <col min="8" max="8" width="13" customWidth="1"/>
    <col min="9" max="24" width="8.7109375" customWidth="1"/>
  </cols>
  <sheetData>
    <row r="1" spans="1:24" ht="42" customHeight="1" x14ac:dyDescent="0.25">
      <c r="A1" s="166" t="s">
        <v>247</v>
      </c>
      <c r="B1" s="161"/>
      <c r="C1" s="161"/>
      <c r="D1" s="161"/>
      <c r="E1" s="161"/>
      <c r="F1" s="161"/>
      <c r="G1" s="161"/>
    </row>
    <row r="2" spans="1:24" ht="18" customHeight="1" x14ac:dyDescent="0.25">
      <c r="A2" s="1"/>
      <c r="B2" s="1"/>
      <c r="C2" s="1"/>
      <c r="D2" s="1"/>
      <c r="E2" s="1"/>
      <c r="F2" s="1"/>
      <c r="G2" s="1"/>
    </row>
    <row r="3" spans="1:24" ht="14.25" customHeight="1" x14ac:dyDescent="0.25">
      <c r="A3" s="166" t="s">
        <v>0</v>
      </c>
      <c r="B3" s="161"/>
      <c r="C3" s="161"/>
      <c r="D3" s="161"/>
      <c r="E3" s="161"/>
      <c r="F3" s="161"/>
      <c r="G3" s="161"/>
    </row>
    <row r="4" spans="1:24" ht="14.25" customHeight="1" x14ac:dyDescent="0.25">
      <c r="A4" s="1"/>
      <c r="B4" s="1"/>
      <c r="C4" s="1"/>
      <c r="D4" s="1"/>
      <c r="E4" s="1"/>
      <c r="F4" s="1"/>
      <c r="G4" s="1"/>
    </row>
    <row r="5" spans="1:24" ht="18" customHeight="1" x14ac:dyDescent="0.25">
      <c r="A5" s="166" t="s">
        <v>33</v>
      </c>
      <c r="B5" s="161"/>
      <c r="C5" s="161"/>
      <c r="D5" s="161"/>
      <c r="E5" s="161"/>
      <c r="F5" s="161"/>
      <c r="G5" s="161"/>
    </row>
    <row r="6" spans="1:24" ht="14.25" customHeight="1" x14ac:dyDescent="0.25">
      <c r="A6" s="1"/>
      <c r="B6" s="1"/>
      <c r="C6" s="1"/>
      <c r="D6" s="1"/>
      <c r="E6" s="1"/>
      <c r="F6" s="1"/>
      <c r="G6" s="1"/>
    </row>
    <row r="7" spans="1:24" ht="14.25" customHeight="1" x14ac:dyDescent="0.25">
      <c r="A7" s="166" t="s">
        <v>9</v>
      </c>
      <c r="B7" s="161"/>
      <c r="C7" s="161"/>
      <c r="D7" s="161"/>
      <c r="E7" s="161"/>
      <c r="F7" s="161"/>
      <c r="G7" s="161"/>
    </row>
    <row r="8" spans="1:24" ht="14.25" customHeight="1" x14ac:dyDescent="0.25">
      <c r="A8" s="1"/>
      <c r="B8" s="1"/>
      <c r="C8" s="1"/>
      <c r="D8" s="1"/>
      <c r="E8" s="1"/>
      <c r="F8" s="1"/>
      <c r="G8" s="1"/>
    </row>
    <row r="9" spans="1:24" ht="25.5" customHeight="1" x14ac:dyDescent="0.25">
      <c r="A9" s="22" t="s">
        <v>34</v>
      </c>
      <c r="B9" s="23" t="s">
        <v>35</v>
      </c>
      <c r="C9" s="23" t="s">
        <v>36</v>
      </c>
      <c r="D9" s="23" t="s">
        <v>37</v>
      </c>
      <c r="E9" s="23" t="s">
        <v>16</v>
      </c>
      <c r="F9" s="22" t="s">
        <v>17</v>
      </c>
      <c r="G9" s="22" t="s">
        <v>18</v>
      </c>
    </row>
    <row r="10" spans="1:24" x14ac:dyDescent="0.25">
      <c r="A10" s="24">
        <v>6</v>
      </c>
      <c r="B10" s="24"/>
      <c r="C10" s="24"/>
      <c r="D10" s="24" t="s">
        <v>38</v>
      </c>
      <c r="E10" s="25">
        <f t="shared" ref="E10:G10" si="0">SUM(E11,E14,E16,E19,E22)</f>
        <v>491174.34069944918</v>
      </c>
      <c r="F10" s="26">
        <f t="shared" si="0"/>
        <v>575095.89222907962</v>
      </c>
      <c r="G10" s="26">
        <f t="shared" si="0"/>
        <v>963136.79</v>
      </c>
    </row>
    <row r="11" spans="1:24" ht="38.25" x14ac:dyDescent="0.25">
      <c r="A11" s="27"/>
      <c r="B11" s="28">
        <v>63</v>
      </c>
      <c r="C11" s="28"/>
      <c r="D11" s="28" t="s">
        <v>39</v>
      </c>
      <c r="E11" s="29">
        <f>SUM(E13)</f>
        <v>488081.1347800119</v>
      </c>
      <c r="F11" s="30">
        <f t="shared" ref="F11:G11" si="1">SUM(F12:F13)</f>
        <v>473156.81199814187</v>
      </c>
      <c r="G11" s="30">
        <f t="shared" si="1"/>
        <v>795379.9</v>
      </c>
    </row>
    <row r="12" spans="1:24" x14ac:dyDescent="0.25">
      <c r="A12" s="31"/>
      <c r="B12" s="32"/>
      <c r="C12" s="32">
        <v>51</v>
      </c>
      <c r="D12" s="32" t="s">
        <v>40</v>
      </c>
      <c r="E12" s="33"/>
      <c r="F12" s="34">
        <f>60000/7.5345</f>
        <v>7963.3685048775624</v>
      </c>
      <c r="G12" s="34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</row>
    <row r="13" spans="1:24" x14ac:dyDescent="0.25">
      <c r="A13" s="36"/>
      <c r="B13" s="36"/>
      <c r="C13" s="37">
        <v>52</v>
      </c>
      <c r="D13" s="38" t="s">
        <v>41</v>
      </c>
      <c r="E13" s="25">
        <f>3677447.31/7.5345</f>
        <v>488081.1347800119</v>
      </c>
      <c r="F13" s="26">
        <f>3505000/7.5345</f>
        <v>465193.44349326432</v>
      </c>
      <c r="G13" s="26">
        <v>795379.9</v>
      </c>
    </row>
    <row r="14" spans="1:24" ht="63.75" x14ac:dyDescent="0.25">
      <c r="A14" s="39"/>
      <c r="B14" s="39">
        <v>65</v>
      </c>
      <c r="C14" s="40"/>
      <c r="D14" s="41" t="s">
        <v>42</v>
      </c>
      <c r="E14" s="29">
        <f t="shared" ref="E14:G14" si="2">SUM(E15)</f>
        <v>1592.0100869334394</v>
      </c>
      <c r="F14" s="30">
        <f t="shared" si="2"/>
        <v>3981.6842524387812</v>
      </c>
      <c r="G14" s="30">
        <f t="shared" si="2"/>
        <v>300</v>
      </c>
    </row>
    <row r="15" spans="1:24" x14ac:dyDescent="0.25">
      <c r="A15" s="36"/>
      <c r="B15" s="36"/>
      <c r="C15" s="37">
        <v>41</v>
      </c>
      <c r="D15" s="38" t="s">
        <v>43</v>
      </c>
      <c r="E15" s="25">
        <f>11995/7.5345</f>
        <v>1592.0100869334394</v>
      </c>
      <c r="F15" s="26">
        <f>30000/7.5345</f>
        <v>3981.6842524387812</v>
      </c>
      <c r="G15" s="26">
        <v>300</v>
      </c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spans="1:24" ht="38.25" x14ac:dyDescent="0.25">
      <c r="A16" s="39"/>
      <c r="B16" s="39">
        <v>66</v>
      </c>
      <c r="C16" s="39"/>
      <c r="D16" s="41" t="s">
        <v>44</v>
      </c>
      <c r="E16" s="29">
        <f t="shared" ref="E16:G16" si="3">SUM(E17:E18)</f>
        <v>1501.1958325038158</v>
      </c>
      <c r="F16" s="30">
        <f t="shared" si="3"/>
        <v>1990.8421262193906</v>
      </c>
      <c r="G16" s="30">
        <f t="shared" si="3"/>
        <v>5398.25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</row>
    <row r="17" spans="1:24" x14ac:dyDescent="0.25">
      <c r="A17" s="36"/>
      <c r="B17" s="36"/>
      <c r="C17" s="37">
        <v>31</v>
      </c>
      <c r="D17" s="38" t="s">
        <v>45</v>
      </c>
      <c r="E17" s="25">
        <f>11310.76/7.5345</f>
        <v>1501.1958325038158</v>
      </c>
      <c r="F17" s="26">
        <f>15000/7.5345</f>
        <v>1990.8421262193906</v>
      </c>
      <c r="G17" s="26">
        <v>5000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spans="1:24" x14ac:dyDescent="0.25">
      <c r="A18" s="36"/>
      <c r="B18" s="36"/>
      <c r="C18" s="37">
        <v>61</v>
      </c>
      <c r="D18" s="38" t="s">
        <v>46</v>
      </c>
      <c r="E18" s="25"/>
      <c r="F18" s="26"/>
      <c r="G18" s="26">
        <v>398.25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spans="1:24" ht="38.25" x14ac:dyDescent="0.25">
      <c r="A19" s="39"/>
      <c r="B19" s="39">
        <v>67</v>
      </c>
      <c r="C19" s="40"/>
      <c r="D19" s="28" t="s">
        <v>47</v>
      </c>
      <c r="E19" s="29">
        <f t="shared" ref="E19:G19" si="4">SUM(E20)</f>
        <v>0</v>
      </c>
      <c r="F19" s="30">
        <f t="shared" si="4"/>
        <v>95966.55385227951</v>
      </c>
      <c r="G19" s="30">
        <f t="shared" si="4"/>
        <v>162058.63999999998</v>
      </c>
    </row>
    <row r="20" spans="1:24" x14ac:dyDescent="0.25">
      <c r="A20" s="36"/>
      <c r="B20" s="36"/>
      <c r="C20" s="37">
        <v>11</v>
      </c>
      <c r="D20" s="38" t="s">
        <v>48</v>
      </c>
      <c r="E20" s="25"/>
      <c r="F20" s="26">
        <f>723060/7.5345</f>
        <v>95966.55385227951</v>
      </c>
      <c r="G20" s="26">
        <f>162059.09-0.45</f>
        <v>162058.63999999998</v>
      </c>
    </row>
    <row r="21" spans="1:24" ht="25.5" x14ac:dyDescent="0.25">
      <c r="A21" s="42">
        <v>7</v>
      </c>
      <c r="B21" s="42"/>
      <c r="C21" s="42"/>
      <c r="D21" s="43" t="s">
        <v>49</v>
      </c>
      <c r="E21" s="25"/>
      <c r="F21" s="26"/>
      <c r="G21" s="26"/>
    </row>
    <row r="22" spans="1:24" ht="38.25" x14ac:dyDescent="0.25">
      <c r="A22" s="28"/>
      <c r="B22" s="28">
        <v>72</v>
      </c>
      <c r="C22" s="28"/>
      <c r="D22" s="44" t="s">
        <v>50</v>
      </c>
      <c r="E22" s="29"/>
      <c r="F22" s="30"/>
      <c r="G22" s="30"/>
    </row>
    <row r="23" spans="1:24" x14ac:dyDescent="0.25">
      <c r="A23" s="45"/>
      <c r="B23" s="45"/>
      <c r="C23" s="37">
        <v>11</v>
      </c>
      <c r="D23" s="38" t="s">
        <v>48</v>
      </c>
      <c r="E23" s="25"/>
      <c r="F23" s="26"/>
      <c r="G23" s="26"/>
      <c r="H23" s="155"/>
    </row>
    <row r="24" spans="1:24" ht="14.25" customHeight="1" x14ac:dyDescent="0.25">
      <c r="A24" s="174" t="s">
        <v>51</v>
      </c>
      <c r="B24" s="163"/>
      <c r="C24" s="163"/>
      <c r="D24" s="168"/>
      <c r="E24" s="46">
        <f t="shared" ref="E24:F24" si="5">SUM(E10,E21)</f>
        <v>491174.34069944918</v>
      </c>
      <c r="F24" s="46">
        <f t="shared" si="5"/>
        <v>575095.89222907962</v>
      </c>
      <c r="G24" s="46">
        <f>SUM(G10,G21)</f>
        <v>963136.79</v>
      </c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</row>
    <row r="25" spans="1:24" ht="14.25" customHeight="1" x14ac:dyDescent="0.25">
      <c r="A25" s="48"/>
      <c r="B25" s="48"/>
      <c r="C25" s="48"/>
      <c r="D25" s="48"/>
      <c r="E25" s="49"/>
      <c r="F25" s="49"/>
      <c r="G25" s="49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</row>
    <row r="26" spans="1:24" ht="14.25" customHeight="1" x14ac:dyDescent="0.25">
      <c r="A26" s="48"/>
      <c r="B26" s="48"/>
      <c r="C26" s="48"/>
      <c r="D26" s="48"/>
      <c r="E26" s="49"/>
      <c r="F26" s="49"/>
      <c r="G26" s="49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</row>
    <row r="27" spans="1:24" ht="14.25" customHeight="1" x14ac:dyDescent="0.25">
      <c r="A27" s="22" t="s">
        <v>34</v>
      </c>
      <c r="B27" s="23" t="s">
        <v>35</v>
      </c>
      <c r="C27" s="23" t="s">
        <v>36</v>
      </c>
      <c r="D27" s="23" t="s">
        <v>37</v>
      </c>
      <c r="E27" s="23" t="s">
        <v>16</v>
      </c>
      <c r="F27" s="22" t="s">
        <v>17</v>
      </c>
      <c r="G27" s="22" t="s">
        <v>18</v>
      </c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</row>
    <row r="28" spans="1:24" ht="14.25" customHeight="1" x14ac:dyDescent="0.25">
      <c r="A28" s="50">
        <v>9</v>
      </c>
      <c r="B28" s="50"/>
      <c r="C28" s="50"/>
      <c r="D28" s="24" t="s">
        <v>52</v>
      </c>
      <c r="E28" s="51">
        <f t="shared" ref="E28:G28" si="6">SUM(E29)</f>
        <v>1199.82</v>
      </c>
      <c r="F28" s="51">
        <f t="shared" si="6"/>
        <v>0</v>
      </c>
      <c r="G28" s="51">
        <f t="shared" si="6"/>
        <v>3047.45</v>
      </c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1:24" ht="14.25" customHeight="1" x14ac:dyDescent="0.25">
      <c r="A29" s="53"/>
      <c r="B29" s="53">
        <v>92</v>
      </c>
      <c r="C29" s="53"/>
      <c r="D29" s="45" t="s">
        <v>53</v>
      </c>
      <c r="E29" s="46">
        <f t="shared" ref="E29:F29" si="7">SUM(E30)</f>
        <v>1199.82</v>
      </c>
      <c r="F29" s="46">
        <f t="shared" si="7"/>
        <v>0</v>
      </c>
      <c r="G29" s="46">
        <v>3047.45</v>
      </c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</row>
    <row r="30" spans="1:24" ht="14.25" customHeight="1" x14ac:dyDescent="0.25">
      <c r="A30" s="54"/>
      <c r="B30" s="54"/>
      <c r="C30" s="55">
        <v>41</v>
      </c>
      <c r="D30" s="55" t="s">
        <v>43</v>
      </c>
      <c r="E30" s="56">
        <v>1199.82</v>
      </c>
      <c r="F30" s="54"/>
      <c r="G30" s="56"/>
    </row>
    <row r="31" spans="1:24" ht="14.25" customHeight="1" x14ac:dyDescent="0.25">
      <c r="A31" s="54"/>
      <c r="B31" s="54"/>
      <c r="C31" s="55">
        <v>51</v>
      </c>
      <c r="D31" s="55" t="s">
        <v>40</v>
      </c>
      <c r="E31" s="56"/>
      <c r="F31" s="54"/>
      <c r="G31" s="56"/>
    </row>
    <row r="32" spans="1:24" ht="14.25" customHeight="1" x14ac:dyDescent="0.25">
      <c r="A32" s="35"/>
      <c r="B32" s="35"/>
      <c r="C32" s="35"/>
      <c r="D32" s="35"/>
      <c r="E32" s="35"/>
      <c r="F32" s="35"/>
      <c r="G32" s="35"/>
    </row>
    <row r="33" spans="1:24" ht="14.25" customHeight="1" x14ac:dyDescent="0.25">
      <c r="A33" s="35"/>
      <c r="B33" s="35"/>
      <c r="C33" s="35"/>
      <c r="D33" s="35"/>
      <c r="E33" s="35"/>
      <c r="F33" s="35"/>
      <c r="G33" s="35"/>
    </row>
    <row r="34" spans="1:24" ht="14.25" customHeight="1" x14ac:dyDescent="0.25">
      <c r="A34" s="166" t="s">
        <v>54</v>
      </c>
      <c r="B34" s="161"/>
      <c r="C34" s="161"/>
      <c r="D34" s="161"/>
      <c r="E34" s="161"/>
      <c r="F34" s="161"/>
      <c r="G34" s="161"/>
    </row>
    <row r="35" spans="1:24" ht="6" customHeight="1" x14ac:dyDescent="0.25">
      <c r="A35" s="1"/>
      <c r="B35" s="1"/>
      <c r="C35" s="1"/>
      <c r="D35" s="1"/>
      <c r="E35" s="1"/>
      <c r="F35" s="1"/>
      <c r="G35" s="1"/>
    </row>
    <row r="36" spans="1:24" ht="23.25" customHeight="1" x14ac:dyDescent="0.25">
      <c r="A36" s="22" t="s">
        <v>34</v>
      </c>
      <c r="B36" s="23" t="s">
        <v>35</v>
      </c>
      <c r="C36" s="23" t="s">
        <v>36</v>
      </c>
      <c r="D36" s="23" t="s">
        <v>55</v>
      </c>
      <c r="E36" s="23" t="s">
        <v>16</v>
      </c>
      <c r="F36" s="22" t="s">
        <v>17</v>
      </c>
      <c r="G36" s="22" t="s">
        <v>18</v>
      </c>
    </row>
    <row r="37" spans="1:24" ht="15.75" customHeight="1" x14ac:dyDescent="0.25">
      <c r="A37" s="57">
        <v>3</v>
      </c>
      <c r="B37" s="57"/>
      <c r="C37" s="57"/>
      <c r="D37" s="57" t="s">
        <v>56</v>
      </c>
      <c r="E37" s="58">
        <f t="shared" ref="E37:G37" si="8">SUM(E38,E41,E48,E51)</f>
        <v>487182.5137699914</v>
      </c>
      <c r="F37" s="58">
        <f t="shared" si="8"/>
        <v>569123.36585042137</v>
      </c>
      <c r="G37" s="58">
        <f t="shared" si="8"/>
        <v>882174.18</v>
      </c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</row>
    <row r="38" spans="1:24" ht="15.75" customHeight="1" x14ac:dyDescent="0.25">
      <c r="A38" s="27"/>
      <c r="B38" s="28">
        <v>31</v>
      </c>
      <c r="C38" s="28"/>
      <c r="D38" s="28" t="s">
        <v>57</v>
      </c>
      <c r="E38" s="29">
        <f t="shared" ref="E38:G38" si="9">SUM(E39:E40)</f>
        <v>442677.729112748</v>
      </c>
      <c r="F38" s="30">
        <f t="shared" si="9"/>
        <v>417413.23246399889</v>
      </c>
      <c r="G38" s="30">
        <f t="shared" si="9"/>
        <v>608300.5</v>
      </c>
    </row>
    <row r="39" spans="1:24" ht="14.25" customHeight="1" x14ac:dyDescent="0.25">
      <c r="A39" s="36"/>
      <c r="B39" s="36"/>
      <c r="C39" s="37">
        <v>11</v>
      </c>
      <c r="D39" s="38" t="s">
        <v>48</v>
      </c>
      <c r="E39" s="25"/>
      <c r="F39" s="26"/>
      <c r="G39" s="26"/>
    </row>
    <row r="40" spans="1:24" ht="14.25" customHeight="1" x14ac:dyDescent="0.25">
      <c r="A40" s="36"/>
      <c r="B40" s="36"/>
      <c r="C40" s="37">
        <v>52</v>
      </c>
      <c r="D40" s="38" t="s">
        <v>58</v>
      </c>
      <c r="E40" s="25">
        <f>3335355.35/7.5345</f>
        <v>442677.729112748</v>
      </c>
      <c r="F40" s="26">
        <f>3145000/7.5345</f>
        <v>417413.23246399889</v>
      </c>
      <c r="G40" s="26">
        <v>608300.5</v>
      </c>
    </row>
    <row r="41" spans="1:24" ht="14.25" customHeight="1" x14ac:dyDescent="0.25">
      <c r="A41" s="39"/>
      <c r="B41" s="39">
        <v>32</v>
      </c>
      <c r="C41" s="40"/>
      <c r="D41" s="59" t="s">
        <v>59</v>
      </c>
      <c r="E41" s="29">
        <f t="shared" ref="E41:G41" si="10">SUM(E42:E47)</f>
        <v>39233.154157541969</v>
      </c>
      <c r="F41" s="30">
        <f t="shared" si="10"/>
        <v>146998.47368770323</v>
      </c>
      <c r="G41" s="30">
        <f t="shared" si="10"/>
        <v>265194.06</v>
      </c>
    </row>
    <row r="42" spans="1:24" ht="14.25" customHeight="1" x14ac:dyDescent="0.25">
      <c r="A42" s="36"/>
      <c r="B42" s="36"/>
      <c r="C42" s="37">
        <v>11</v>
      </c>
      <c r="D42" s="38" t="s">
        <v>48</v>
      </c>
      <c r="E42" s="25"/>
      <c r="F42" s="26">
        <f>713560/7.5345</f>
        <v>94705.687172340564</v>
      </c>
      <c r="G42" s="26">
        <v>163349.68</v>
      </c>
    </row>
    <row r="43" spans="1:24" ht="14.25" customHeight="1" x14ac:dyDescent="0.25">
      <c r="A43" s="36"/>
      <c r="B43" s="36"/>
      <c r="C43" s="37">
        <v>31</v>
      </c>
      <c r="D43" s="38" t="s">
        <v>45</v>
      </c>
      <c r="E43" s="25">
        <f>11284.28/7.5345</f>
        <v>1497.6813325369965</v>
      </c>
      <c r="F43" s="26">
        <f>15000/7.5345</f>
        <v>1990.8421262193906</v>
      </c>
      <c r="G43" s="26">
        <v>4980</v>
      </c>
    </row>
    <row r="44" spans="1:24" ht="14.25" customHeight="1" x14ac:dyDescent="0.25">
      <c r="A44" s="36"/>
      <c r="B44" s="36"/>
      <c r="C44" s="37">
        <v>43</v>
      </c>
      <c r="D44" s="38" t="s">
        <v>43</v>
      </c>
      <c r="E44" s="25">
        <f>20326.62/7.5345</f>
        <v>2697.8060919769059</v>
      </c>
      <c r="F44" s="26">
        <f>30000/7.5345</f>
        <v>3981.6842524387812</v>
      </c>
      <c r="G44" s="26">
        <v>300</v>
      </c>
    </row>
    <row r="45" spans="1:24" ht="14.25" customHeight="1" x14ac:dyDescent="0.25">
      <c r="A45" s="36"/>
      <c r="B45" s="36"/>
      <c r="C45" s="37">
        <v>51</v>
      </c>
      <c r="D45" s="38" t="s">
        <v>40</v>
      </c>
      <c r="E45" s="25"/>
      <c r="F45" s="26">
        <f>60000/7.5345</f>
        <v>7963.3685048775624</v>
      </c>
      <c r="G45" s="26"/>
    </row>
    <row r="46" spans="1:24" ht="14.25" customHeight="1" x14ac:dyDescent="0.25">
      <c r="A46" s="36"/>
      <c r="B46" s="36"/>
      <c r="C46" s="37">
        <v>52</v>
      </c>
      <c r="D46" s="38" t="s">
        <v>58</v>
      </c>
      <c r="E46" s="25">
        <f>263991.3/7.5345</f>
        <v>35037.666733028069</v>
      </c>
      <c r="F46" s="26">
        <f>289000/7.5345</f>
        <v>38356.891631826926</v>
      </c>
      <c r="G46" s="26">
        <v>96166.13</v>
      </c>
    </row>
    <row r="47" spans="1:24" ht="14.25" customHeight="1" x14ac:dyDescent="0.25">
      <c r="A47" s="36"/>
      <c r="B47" s="36"/>
      <c r="C47" s="37">
        <v>61</v>
      </c>
      <c r="D47" s="38" t="s">
        <v>46</v>
      </c>
      <c r="E47" s="25"/>
      <c r="F47" s="26"/>
      <c r="G47" s="26">
        <v>398.25</v>
      </c>
    </row>
    <row r="48" spans="1:24" ht="14.25" customHeight="1" x14ac:dyDescent="0.25">
      <c r="A48" s="39"/>
      <c r="B48" s="39">
        <v>34</v>
      </c>
      <c r="C48" s="40"/>
      <c r="D48" s="60" t="s">
        <v>60</v>
      </c>
      <c r="E48" s="29">
        <f t="shared" ref="E48:G48" si="11">SUM(E49:E50)</f>
        <v>1553.6306324241821</v>
      </c>
      <c r="F48" s="30">
        <f t="shared" si="11"/>
        <v>729.97544628044329</v>
      </c>
      <c r="G48" s="30">
        <f t="shared" si="11"/>
        <v>3059.62</v>
      </c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</row>
    <row r="49" spans="1:24" ht="14.25" customHeight="1" x14ac:dyDescent="0.25">
      <c r="A49" s="36"/>
      <c r="B49" s="36"/>
      <c r="C49" s="37">
        <v>11</v>
      </c>
      <c r="D49" s="38" t="s">
        <v>48</v>
      </c>
      <c r="E49" s="25"/>
      <c r="F49" s="26">
        <f>4500/7.5345</f>
        <v>597.25263786581718</v>
      </c>
      <c r="G49" s="26">
        <v>1059.6199999999999</v>
      </c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0" spans="1:24" ht="14.25" customHeight="1" x14ac:dyDescent="0.25">
      <c r="A50" s="36"/>
      <c r="B50" s="36"/>
      <c r="C50" s="37">
        <v>52</v>
      </c>
      <c r="D50" s="38" t="s">
        <v>58</v>
      </c>
      <c r="E50" s="25">
        <f>11705.83/7.5345</f>
        <v>1553.6306324241821</v>
      </c>
      <c r="F50" s="26">
        <f>1000/7.5345</f>
        <v>132.72280841462606</v>
      </c>
      <c r="G50" s="26">
        <v>2000</v>
      </c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</row>
    <row r="51" spans="1:24" ht="24.75" customHeight="1" x14ac:dyDescent="0.25">
      <c r="A51" s="39"/>
      <c r="B51" s="39">
        <v>37</v>
      </c>
      <c r="C51" s="40"/>
      <c r="D51" s="61" t="s">
        <v>61</v>
      </c>
      <c r="E51" s="29">
        <f t="shared" ref="E51:F51" si="12">SUM(E52)</f>
        <v>3717.9998672771912</v>
      </c>
      <c r="F51" s="30">
        <f t="shared" si="12"/>
        <v>3981.6842524387812</v>
      </c>
      <c r="G51" s="30">
        <f>SUM(G52+G53)</f>
        <v>5620</v>
      </c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</row>
    <row r="52" spans="1:24" ht="14.25" customHeight="1" x14ac:dyDescent="0.25">
      <c r="A52" s="36"/>
      <c r="B52" s="36"/>
      <c r="C52" s="37">
        <v>52</v>
      </c>
      <c r="D52" s="38" t="s">
        <v>58</v>
      </c>
      <c r="E52" s="25">
        <f>28013.27/7.5345</f>
        <v>3717.9998672771912</v>
      </c>
      <c r="F52" s="26">
        <f>30000/7.5345</f>
        <v>3981.6842524387812</v>
      </c>
      <c r="G52" s="26">
        <v>5600</v>
      </c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  <row r="53" spans="1:24" ht="14.25" customHeight="1" x14ac:dyDescent="0.25">
      <c r="A53" s="36"/>
      <c r="B53" s="36"/>
      <c r="C53" s="37">
        <v>31</v>
      </c>
      <c r="D53" s="38" t="s">
        <v>45</v>
      </c>
      <c r="E53" s="25"/>
      <c r="F53" s="26"/>
      <c r="G53" s="26">
        <v>20</v>
      </c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</row>
    <row r="54" spans="1:24" ht="24" customHeight="1" x14ac:dyDescent="0.25">
      <c r="A54" s="42">
        <v>4</v>
      </c>
      <c r="B54" s="42"/>
      <c r="C54" s="42"/>
      <c r="D54" s="43" t="s">
        <v>62</v>
      </c>
      <c r="E54" s="25">
        <f t="shared" ref="E54:G54" si="13">SUM(E55)</f>
        <v>5324.3612714845049</v>
      </c>
      <c r="F54" s="26">
        <f t="shared" si="13"/>
        <v>5972.5263786581718</v>
      </c>
      <c r="G54" s="26">
        <f t="shared" si="13"/>
        <v>84010.064744176794</v>
      </c>
    </row>
    <row r="55" spans="1:24" ht="24" customHeight="1" x14ac:dyDescent="0.25">
      <c r="A55" s="28"/>
      <c r="B55" s="28">
        <v>42</v>
      </c>
      <c r="C55" s="28"/>
      <c r="D55" s="44" t="s">
        <v>63</v>
      </c>
      <c r="E55" s="29">
        <f t="shared" ref="E55:G55" si="14">SUM(E56:E60)</f>
        <v>5324.3612714845049</v>
      </c>
      <c r="F55" s="30">
        <f t="shared" si="14"/>
        <v>5972.5263786581718</v>
      </c>
      <c r="G55" s="30">
        <f t="shared" si="14"/>
        <v>84010.064744176794</v>
      </c>
    </row>
    <row r="56" spans="1:24" ht="14.25" customHeight="1" x14ac:dyDescent="0.25">
      <c r="A56" s="45"/>
      <c r="B56" s="45"/>
      <c r="C56" s="37">
        <v>11</v>
      </c>
      <c r="D56" s="38" t="s">
        <v>48</v>
      </c>
      <c r="E56" s="25"/>
      <c r="F56" s="26">
        <f>5000/7.5345</f>
        <v>663.61404207313024</v>
      </c>
      <c r="G56" s="26">
        <f t="shared" ref="G56" si="15">F56*0.05+F56</f>
        <v>696.79474417678671</v>
      </c>
    </row>
    <row r="57" spans="1:24" ht="14.25" customHeight="1" x14ac:dyDescent="0.25">
      <c r="A57" s="54"/>
      <c r="B57" s="54"/>
      <c r="C57" s="62">
        <v>31</v>
      </c>
      <c r="D57" s="63" t="s">
        <v>45</v>
      </c>
      <c r="E57" s="54"/>
      <c r="F57" s="54"/>
      <c r="G57" s="54"/>
    </row>
    <row r="58" spans="1:24" ht="14.25" customHeight="1" x14ac:dyDescent="0.25">
      <c r="A58" s="54"/>
      <c r="B58" s="54"/>
      <c r="C58" s="62">
        <v>43</v>
      </c>
      <c r="D58" s="63" t="s">
        <v>43</v>
      </c>
      <c r="E58" s="56">
        <f>3099/7.5345</f>
        <v>411.30798327692611</v>
      </c>
      <c r="F58" s="54"/>
      <c r="G58" s="54"/>
    </row>
    <row r="59" spans="1:24" ht="14.25" customHeight="1" x14ac:dyDescent="0.25">
      <c r="A59" s="54"/>
      <c r="B59" s="54"/>
      <c r="C59" s="62">
        <v>52</v>
      </c>
      <c r="D59" s="63" t="s">
        <v>58</v>
      </c>
      <c r="E59" s="56">
        <f>37017.4/7.5345</f>
        <v>4913.0532882075786</v>
      </c>
      <c r="F59" s="56">
        <f>40000/7.5345</f>
        <v>5308.9123365850419</v>
      </c>
      <c r="G59" s="54">
        <v>83313.27</v>
      </c>
    </row>
    <row r="60" spans="1:24" ht="14.25" customHeight="1" x14ac:dyDescent="0.25">
      <c r="A60" s="54"/>
      <c r="B60" s="54"/>
      <c r="C60" s="62">
        <v>61</v>
      </c>
      <c r="D60" s="63" t="s">
        <v>46</v>
      </c>
      <c r="E60" s="54"/>
      <c r="F60" s="54"/>
      <c r="G60" s="54"/>
    </row>
    <row r="61" spans="1:24" ht="14.25" customHeight="1" x14ac:dyDescent="0.25">
      <c r="A61" s="173" t="s">
        <v>64</v>
      </c>
      <c r="B61" s="163"/>
      <c r="C61" s="163"/>
      <c r="D61" s="168"/>
      <c r="E61" s="64">
        <f t="shared" ref="E61:G61" si="16">SUM(E37,E54)</f>
        <v>492506.87504147593</v>
      </c>
      <c r="F61" s="64">
        <f t="shared" si="16"/>
        <v>575095.8922290795</v>
      </c>
      <c r="G61" s="64">
        <f t="shared" si="16"/>
        <v>966184.24474417686</v>
      </c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</row>
    <row r="62" spans="1:24" ht="14.25" customHeight="1" x14ac:dyDescent="0.25"/>
    <row r="63" spans="1:24" ht="14.25" customHeight="1" x14ac:dyDescent="0.25"/>
    <row r="64" spans="1:2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</sheetData>
  <mergeCells count="7">
    <mergeCell ref="A34:G34"/>
    <mergeCell ref="A61:D61"/>
    <mergeCell ref="A1:G1"/>
    <mergeCell ref="A3:G3"/>
    <mergeCell ref="A5:G5"/>
    <mergeCell ref="A7:G7"/>
    <mergeCell ref="A24:D24"/>
  </mergeCells>
  <pageMargins left="0.7" right="0.7" top="0.75" bottom="0.75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1000"/>
  <sheetViews>
    <sheetView workbookViewId="0">
      <selection sqref="A1:D1"/>
    </sheetView>
  </sheetViews>
  <sheetFormatPr defaultColWidth="14.42578125" defaultRowHeight="15" customHeight="1" x14ac:dyDescent="0.25"/>
  <cols>
    <col min="1" max="1" width="37.7109375" customWidth="1"/>
    <col min="2" max="4" width="25.28515625" customWidth="1"/>
    <col min="5" max="24" width="8.7109375" customWidth="1"/>
  </cols>
  <sheetData>
    <row r="1" spans="1:24" ht="42" customHeight="1" x14ac:dyDescent="0.25">
      <c r="A1" s="166" t="s">
        <v>249</v>
      </c>
      <c r="B1" s="161"/>
      <c r="C1" s="161"/>
      <c r="D1" s="161"/>
    </row>
    <row r="2" spans="1:24" ht="18" customHeight="1" x14ac:dyDescent="0.25">
      <c r="A2" s="1"/>
      <c r="B2" s="1"/>
      <c r="C2" s="1"/>
      <c r="D2" s="1"/>
    </row>
    <row r="3" spans="1:24" ht="14.25" customHeight="1" x14ac:dyDescent="0.25">
      <c r="A3" s="166" t="s">
        <v>0</v>
      </c>
      <c r="B3" s="161"/>
      <c r="C3" s="161"/>
      <c r="D3" s="161"/>
    </row>
    <row r="4" spans="1:24" ht="14.25" customHeight="1" x14ac:dyDescent="0.25">
      <c r="A4" s="1"/>
      <c r="B4" s="1"/>
      <c r="C4" s="1"/>
      <c r="D4" s="1"/>
    </row>
    <row r="5" spans="1:24" ht="18" customHeight="1" x14ac:dyDescent="0.25">
      <c r="A5" s="166" t="s">
        <v>33</v>
      </c>
      <c r="B5" s="161"/>
      <c r="C5" s="161"/>
      <c r="D5" s="161"/>
    </row>
    <row r="6" spans="1:24" ht="14.25" customHeight="1" x14ac:dyDescent="0.25">
      <c r="A6" s="1"/>
      <c r="B6" s="1"/>
      <c r="C6" s="1"/>
      <c r="D6" s="1"/>
    </row>
    <row r="7" spans="1:24" ht="14.25" customHeight="1" x14ac:dyDescent="0.25">
      <c r="A7" s="166" t="s">
        <v>65</v>
      </c>
      <c r="B7" s="161"/>
      <c r="C7" s="161"/>
      <c r="D7" s="161"/>
    </row>
    <row r="8" spans="1:24" ht="14.25" customHeight="1" x14ac:dyDescent="0.25">
      <c r="A8" s="1"/>
      <c r="B8" s="1"/>
      <c r="C8" s="1"/>
      <c r="D8" s="1"/>
    </row>
    <row r="9" spans="1:24" ht="14.25" customHeight="1" x14ac:dyDescent="0.25">
      <c r="A9" s="22" t="s">
        <v>66</v>
      </c>
      <c r="B9" s="23" t="s">
        <v>16</v>
      </c>
      <c r="C9" s="22" t="s">
        <v>17</v>
      </c>
      <c r="D9" s="22" t="s">
        <v>18</v>
      </c>
    </row>
    <row r="10" spans="1:24" ht="15.75" customHeight="1" x14ac:dyDescent="0.25">
      <c r="A10" s="24" t="s">
        <v>67</v>
      </c>
      <c r="B10" s="66">
        <f t="shared" ref="B10:D10" si="0">SUM(B11,B13)</f>
        <v>492507</v>
      </c>
      <c r="C10" s="67">
        <f t="shared" si="0"/>
        <v>575095.88797664072</v>
      </c>
      <c r="D10" s="67">
        <f t="shared" si="0"/>
        <v>966184.24474417686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</row>
    <row r="11" spans="1:24" ht="15.75" customHeight="1" x14ac:dyDescent="0.25">
      <c r="A11" s="24" t="s">
        <v>68</v>
      </c>
      <c r="B11" s="68">
        <f t="shared" ref="B11:D11" si="1">SUM(B12)</f>
        <v>489397.88</v>
      </c>
      <c r="C11" s="69">
        <f t="shared" si="1"/>
        <v>571114.20797664067</v>
      </c>
      <c r="D11" s="69">
        <f t="shared" si="1"/>
        <v>961184.24474417686</v>
      </c>
    </row>
    <row r="12" spans="1:24" ht="14.25" customHeight="1" x14ac:dyDescent="0.25">
      <c r="A12" s="70" t="s">
        <v>69</v>
      </c>
      <c r="B12" s="68">
        <f>489397.88</f>
        <v>489397.88</v>
      </c>
      <c r="C12" s="69">
        <f>' Račun prihoda i rashoda'!F61-' Račun prihoda i rashoda'!F52</f>
        <v>571114.20797664067</v>
      </c>
      <c r="D12" s="69">
        <f>' Račun prihoda i rashoda'!G61-' Račun prihoda i rashoda'!G43-' Račun prihoda i rashoda'!G53</f>
        <v>961184.24474417686</v>
      </c>
    </row>
    <row r="13" spans="1:24" ht="14.25" customHeight="1" x14ac:dyDescent="0.25">
      <c r="A13" s="24" t="s">
        <v>70</v>
      </c>
      <c r="B13" s="68">
        <v>3109.12</v>
      </c>
      <c r="C13" s="69">
        <v>3981.68</v>
      </c>
      <c r="D13" s="69">
        <v>5000</v>
      </c>
    </row>
    <row r="14" spans="1:24" ht="14.25" customHeight="1" x14ac:dyDescent="0.25"/>
    <row r="15" spans="1:24" ht="14.25" customHeight="1" x14ac:dyDescent="0.25"/>
    <row r="16" spans="1:24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4">
    <mergeCell ref="A1:D1"/>
    <mergeCell ref="A3:D3"/>
    <mergeCell ref="A5:D5"/>
    <mergeCell ref="A7:D7"/>
  </mergeCells>
  <pageMargins left="0.7" right="0.7" top="0.75" bottom="0.75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000"/>
  <sheetViews>
    <sheetView workbookViewId="0">
      <selection sqref="A1:G1"/>
    </sheetView>
  </sheetViews>
  <sheetFormatPr defaultColWidth="14.42578125" defaultRowHeight="15" customHeight="1" x14ac:dyDescent="0.25"/>
  <cols>
    <col min="1" max="1" width="7.42578125" customWidth="1"/>
    <col min="2" max="2" width="8.42578125" customWidth="1"/>
    <col min="3" max="3" width="5.42578125" customWidth="1"/>
    <col min="4" max="7" width="25.28515625" customWidth="1"/>
    <col min="8" max="24" width="8.7109375" customWidth="1"/>
  </cols>
  <sheetData>
    <row r="1" spans="1:7" ht="42" customHeight="1" x14ac:dyDescent="0.25">
      <c r="A1" s="166" t="s">
        <v>247</v>
      </c>
      <c r="B1" s="161"/>
      <c r="C1" s="161"/>
      <c r="D1" s="161"/>
      <c r="E1" s="161"/>
      <c r="F1" s="161"/>
      <c r="G1" s="161"/>
    </row>
    <row r="2" spans="1:7" ht="18" customHeight="1" x14ac:dyDescent="0.25">
      <c r="A2" s="1"/>
      <c r="B2" s="1"/>
      <c r="C2" s="1"/>
      <c r="D2" s="1"/>
      <c r="E2" s="1"/>
      <c r="F2" s="1"/>
      <c r="G2" s="1"/>
    </row>
    <row r="3" spans="1:7" ht="14.25" customHeight="1" x14ac:dyDescent="0.25">
      <c r="A3" s="166" t="s">
        <v>0</v>
      </c>
      <c r="B3" s="161"/>
      <c r="C3" s="161"/>
      <c r="D3" s="161"/>
      <c r="E3" s="161"/>
      <c r="F3" s="161"/>
      <c r="G3" s="161"/>
    </row>
    <row r="4" spans="1:7" ht="14.25" customHeight="1" x14ac:dyDescent="0.25">
      <c r="A4" s="1"/>
      <c r="B4" s="1"/>
      <c r="C4" s="1"/>
      <c r="D4" s="1"/>
      <c r="E4" s="1"/>
      <c r="F4" s="1"/>
      <c r="G4" s="1"/>
    </row>
    <row r="5" spans="1:7" ht="18" customHeight="1" x14ac:dyDescent="0.25">
      <c r="A5" s="166" t="s">
        <v>71</v>
      </c>
      <c r="B5" s="161"/>
      <c r="C5" s="161"/>
      <c r="D5" s="161"/>
      <c r="E5" s="161"/>
      <c r="F5" s="161"/>
      <c r="G5" s="161"/>
    </row>
    <row r="6" spans="1:7" ht="14.25" customHeight="1" x14ac:dyDescent="0.25">
      <c r="A6" s="1"/>
      <c r="B6" s="1"/>
      <c r="C6" s="1"/>
      <c r="D6" s="1"/>
      <c r="E6" s="1"/>
      <c r="F6" s="1"/>
      <c r="G6" s="1"/>
    </row>
    <row r="7" spans="1:7" ht="14.25" customHeight="1" x14ac:dyDescent="0.25">
      <c r="A7" s="22" t="s">
        <v>34</v>
      </c>
      <c r="B7" s="23" t="s">
        <v>35</v>
      </c>
      <c r="C7" s="23" t="s">
        <v>36</v>
      </c>
      <c r="D7" s="23" t="s">
        <v>72</v>
      </c>
      <c r="E7" s="23" t="s">
        <v>16</v>
      </c>
      <c r="F7" s="22" t="s">
        <v>17</v>
      </c>
      <c r="G7" s="22" t="s">
        <v>18</v>
      </c>
    </row>
    <row r="8" spans="1:7" ht="14.25" customHeight="1" x14ac:dyDescent="0.25">
      <c r="A8" s="24">
        <v>8</v>
      </c>
      <c r="B8" s="24"/>
      <c r="C8" s="24"/>
      <c r="D8" s="24" t="s">
        <v>73</v>
      </c>
      <c r="E8" s="68"/>
      <c r="F8" s="69"/>
      <c r="G8" s="69"/>
    </row>
    <row r="9" spans="1:7" ht="14.25" customHeight="1" x14ac:dyDescent="0.25">
      <c r="A9" s="24"/>
      <c r="B9" s="45">
        <v>84</v>
      </c>
      <c r="C9" s="45"/>
      <c r="D9" s="45" t="s">
        <v>74</v>
      </c>
      <c r="E9" s="68"/>
      <c r="F9" s="69"/>
      <c r="G9" s="69"/>
    </row>
    <row r="10" spans="1:7" ht="14.25" customHeight="1" x14ac:dyDescent="0.25">
      <c r="A10" s="36"/>
      <c r="B10" s="36"/>
      <c r="C10" s="37">
        <v>81</v>
      </c>
      <c r="D10" s="70" t="s">
        <v>75</v>
      </c>
      <c r="E10" s="68"/>
      <c r="F10" s="69"/>
      <c r="G10" s="69"/>
    </row>
    <row r="11" spans="1:7" ht="14.25" customHeight="1" x14ac:dyDescent="0.25">
      <c r="A11" s="42">
        <v>5</v>
      </c>
      <c r="B11" s="42"/>
      <c r="C11" s="42"/>
      <c r="D11" s="43" t="s">
        <v>76</v>
      </c>
      <c r="E11" s="68"/>
      <c r="F11" s="69"/>
      <c r="G11" s="69"/>
    </row>
    <row r="12" spans="1:7" ht="14.25" customHeight="1" x14ac:dyDescent="0.25">
      <c r="A12" s="45"/>
      <c r="B12" s="45">
        <v>54</v>
      </c>
      <c r="C12" s="45"/>
      <c r="D12" s="71" t="s">
        <v>77</v>
      </c>
      <c r="E12" s="68"/>
      <c r="F12" s="69"/>
      <c r="G12" s="69"/>
    </row>
    <row r="13" spans="1:7" ht="14.25" customHeight="1" x14ac:dyDescent="0.25">
      <c r="A13" s="45"/>
      <c r="B13" s="45"/>
      <c r="C13" s="37">
        <v>11</v>
      </c>
      <c r="D13" s="38" t="s">
        <v>48</v>
      </c>
      <c r="E13" s="68"/>
      <c r="F13" s="69"/>
      <c r="G13" s="69"/>
    </row>
    <row r="14" spans="1:7" ht="14.25" customHeight="1" x14ac:dyDescent="0.25">
      <c r="A14" s="45"/>
      <c r="B14" s="45"/>
      <c r="C14" s="37">
        <v>31</v>
      </c>
      <c r="D14" s="38" t="s">
        <v>45</v>
      </c>
      <c r="E14" s="68"/>
      <c r="F14" s="69"/>
      <c r="G14" s="69"/>
    </row>
    <row r="15" spans="1:7" ht="14.25" customHeight="1" x14ac:dyDescent="0.25"/>
    <row r="16" spans="1:7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3">
    <mergeCell ref="A1:G1"/>
    <mergeCell ref="A3:G3"/>
    <mergeCell ref="A5:G5"/>
  </mergeCells>
  <pageMargins left="0.7" right="0.7" top="0.75" bottom="0.75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1000"/>
  <sheetViews>
    <sheetView workbookViewId="0">
      <selection activeCell="A2" sqref="A2:G2"/>
    </sheetView>
  </sheetViews>
  <sheetFormatPr defaultColWidth="14.42578125" defaultRowHeight="15" customHeight="1" x14ac:dyDescent="0.25"/>
  <cols>
    <col min="1" max="1" width="7.42578125" customWidth="1"/>
    <col min="2" max="2" width="8.42578125" customWidth="1"/>
    <col min="3" max="3" width="8.7109375" customWidth="1"/>
    <col min="4" max="4" width="30" customWidth="1"/>
    <col min="5" max="7" width="25.28515625" customWidth="1"/>
    <col min="8" max="24" width="8.7109375" customWidth="1"/>
  </cols>
  <sheetData>
    <row r="1" spans="1:24" ht="42" customHeight="1" x14ac:dyDescent="0.25"/>
    <row r="2" spans="1:24" ht="14.25" customHeight="1" x14ac:dyDescent="0.25">
      <c r="A2" s="166" t="s">
        <v>248</v>
      </c>
      <c r="B2" s="161"/>
      <c r="C2" s="161"/>
      <c r="D2" s="161"/>
      <c r="E2" s="161"/>
      <c r="F2" s="161"/>
      <c r="G2" s="161"/>
    </row>
    <row r="3" spans="1:24" ht="18" customHeight="1" x14ac:dyDescent="0.25">
      <c r="A3" s="1"/>
      <c r="B3" s="1"/>
      <c r="C3" s="1"/>
      <c r="D3" s="1"/>
      <c r="E3" s="1"/>
      <c r="F3" s="1"/>
      <c r="G3" s="1"/>
    </row>
    <row r="4" spans="1:24" ht="14.25" customHeight="1" x14ac:dyDescent="0.25">
      <c r="A4" s="166" t="s">
        <v>78</v>
      </c>
      <c r="B4" s="161"/>
      <c r="C4" s="161"/>
      <c r="D4" s="161"/>
      <c r="E4" s="161"/>
      <c r="F4" s="161"/>
      <c r="G4" s="161"/>
    </row>
    <row r="5" spans="1:24" ht="14.25" customHeight="1" x14ac:dyDescent="0.25">
      <c r="A5" s="1"/>
      <c r="B5" s="1"/>
      <c r="C5" s="1"/>
      <c r="D5" s="1"/>
      <c r="E5" s="1"/>
      <c r="F5" s="1"/>
      <c r="G5" s="1"/>
    </row>
    <row r="6" spans="1:24" ht="14.25" customHeight="1" x14ac:dyDescent="0.25">
      <c r="A6" s="179" t="s">
        <v>79</v>
      </c>
      <c r="B6" s="163"/>
      <c r="C6" s="168"/>
      <c r="D6" s="72" t="s">
        <v>80</v>
      </c>
      <c r="E6" s="23" t="s">
        <v>16</v>
      </c>
      <c r="F6" s="22" t="s">
        <v>17</v>
      </c>
      <c r="G6" s="22" t="s">
        <v>18</v>
      </c>
    </row>
    <row r="7" spans="1:24" ht="25.5" x14ac:dyDescent="0.25">
      <c r="A7" s="177">
        <v>4561</v>
      </c>
      <c r="B7" s="163"/>
      <c r="C7" s="168"/>
      <c r="D7" s="73" t="s">
        <v>81</v>
      </c>
      <c r="E7" s="66">
        <f t="shared" ref="E7:F7" si="0">SUM(E8,E46,E54,E63)</f>
        <v>492506.87761696195</v>
      </c>
      <c r="F7" s="66">
        <f t="shared" si="0"/>
        <v>479129.33625058061</v>
      </c>
      <c r="G7" s="157">
        <f>SUM(G8,G46,G54,G63+G71)</f>
        <v>966184.24</v>
      </c>
    </row>
    <row r="8" spans="1:24" x14ac:dyDescent="0.25">
      <c r="A8" s="177" t="s">
        <v>82</v>
      </c>
      <c r="B8" s="163"/>
      <c r="C8" s="168"/>
      <c r="D8" s="73" t="s">
        <v>83</v>
      </c>
      <c r="E8" s="66">
        <f t="shared" ref="E8:G8" si="1">SUM(E9,E16,E24,E31,E39)</f>
        <v>480766.70647820027</v>
      </c>
      <c r="F8" s="66">
        <f t="shared" si="1"/>
        <v>457893.68690424046</v>
      </c>
      <c r="G8" s="66">
        <f t="shared" si="1"/>
        <v>842270.97</v>
      </c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</row>
    <row r="9" spans="1:24" x14ac:dyDescent="0.25">
      <c r="A9" s="178" t="s">
        <v>84</v>
      </c>
      <c r="B9" s="163"/>
      <c r="C9" s="168"/>
      <c r="D9" s="74" t="s">
        <v>48</v>
      </c>
      <c r="E9" s="66">
        <f>SUM(E10,E14)</f>
        <v>0</v>
      </c>
      <c r="F9" s="67"/>
      <c r="G9" s="67">
        <f>G10</f>
        <v>164409.29999999999</v>
      </c>
    </row>
    <row r="10" spans="1:24" x14ac:dyDescent="0.25">
      <c r="A10" s="176">
        <v>3</v>
      </c>
      <c r="B10" s="163"/>
      <c r="C10" s="168"/>
      <c r="D10" s="75" t="s">
        <v>56</v>
      </c>
      <c r="E10" s="76">
        <f t="shared" ref="E10:G10" si="2">SUM(E11:E13)</f>
        <v>0</v>
      </c>
      <c r="F10" s="76">
        <f t="shared" si="2"/>
        <v>95302.939810206386</v>
      </c>
      <c r="G10" s="76">
        <f t="shared" si="2"/>
        <v>164409.29999999999</v>
      </c>
    </row>
    <row r="11" spans="1:24" x14ac:dyDescent="0.25">
      <c r="A11" s="175">
        <v>31</v>
      </c>
      <c r="B11" s="163"/>
      <c r="C11" s="168"/>
      <c r="D11" s="77" t="s">
        <v>57</v>
      </c>
      <c r="E11" s="69">
        <f>' Račun prihoda i rashoda'!E39</f>
        <v>0</v>
      </c>
      <c r="F11" s="69">
        <f>' Račun prihoda i rashoda'!F39</f>
        <v>0</v>
      </c>
      <c r="G11" s="69">
        <f>' Račun prihoda i rashoda'!G39</f>
        <v>0</v>
      </c>
    </row>
    <row r="12" spans="1:24" x14ac:dyDescent="0.25">
      <c r="A12" s="175">
        <v>32</v>
      </c>
      <c r="B12" s="163"/>
      <c r="C12" s="168"/>
      <c r="D12" s="77" t="s">
        <v>59</v>
      </c>
      <c r="E12" s="69">
        <f>' Račun prihoda i rashoda'!E42</f>
        <v>0</v>
      </c>
      <c r="F12" s="69">
        <f>' Račun prihoda i rashoda'!F42</f>
        <v>94705.687172340564</v>
      </c>
      <c r="G12" s="69">
        <v>163349.68</v>
      </c>
    </row>
    <row r="13" spans="1:24" x14ac:dyDescent="0.25">
      <c r="A13" s="78">
        <v>34</v>
      </c>
      <c r="B13" s="79"/>
      <c r="C13" s="80"/>
      <c r="D13" s="80" t="s">
        <v>60</v>
      </c>
      <c r="E13" s="69">
        <f>' Račun prihoda i rashoda'!E49</f>
        <v>0</v>
      </c>
      <c r="F13" s="69">
        <f>' Račun prihoda i rashoda'!F49</f>
        <v>597.25263786581718</v>
      </c>
      <c r="G13" s="69">
        <v>1059.6199999999999</v>
      </c>
    </row>
    <row r="14" spans="1:24" ht="25.5" x14ac:dyDescent="0.25">
      <c r="A14" s="176">
        <v>4</v>
      </c>
      <c r="B14" s="163"/>
      <c r="C14" s="168"/>
      <c r="D14" s="75" t="s">
        <v>62</v>
      </c>
      <c r="E14" s="76">
        <f t="shared" ref="E14:G14" si="3">SUM(E15)</f>
        <v>0</v>
      </c>
      <c r="F14" s="76">
        <f t="shared" si="3"/>
        <v>663.61404207313024</v>
      </c>
      <c r="G14" s="76">
        <f t="shared" si="3"/>
        <v>696.79474417678671</v>
      </c>
    </row>
    <row r="15" spans="1:24" ht="25.5" x14ac:dyDescent="0.25">
      <c r="A15" s="78">
        <v>42</v>
      </c>
      <c r="B15" s="79"/>
      <c r="C15" s="80"/>
      <c r="D15" s="80" t="s">
        <v>85</v>
      </c>
      <c r="E15" s="69">
        <f>' Račun prihoda i rashoda'!E56</f>
        <v>0</v>
      </c>
      <c r="F15" s="69">
        <f>' Račun prihoda i rashoda'!F56</f>
        <v>663.61404207313024</v>
      </c>
      <c r="G15" s="69">
        <f>' Račun prihoda i rashoda'!G56</f>
        <v>696.79474417678671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</row>
    <row r="16" spans="1:24" x14ac:dyDescent="0.25">
      <c r="A16" s="177" t="s">
        <v>86</v>
      </c>
      <c r="B16" s="163"/>
      <c r="C16" s="168"/>
      <c r="D16" s="73" t="s">
        <v>45</v>
      </c>
      <c r="E16" s="66">
        <f t="shared" ref="E16:G16" si="4">SUM(E17,E22)</f>
        <v>1497.68</v>
      </c>
      <c r="F16" s="66">
        <f t="shared" si="4"/>
        <v>1990.84</v>
      </c>
      <c r="G16" s="66">
        <f t="shared" si="4"/>
        <v>4800</v>
      </c>
    </row>
    <row r="17" spans="1:24" x14ac:dyDescent="0.25">
      <c r="A17" s="176">
        <v>3</v>
      </c>
      <c r="B17" s="163"/>
      <c r="C17" s="168"/>
      <c r="D17" s="75" t="s">
        <v>56</v>
      </c>
      <c r="E17" s="76">
        <f t="shared" ref="E17:G17" si="5">SUM(E18:E20)</f>
        <v>1497.68</v>
      </c>
      <c r="F17" s="76">
        <f t="shared" si="5"/>
        <v>1990.84</v>
      </c>
      <c r="G17" s="76">
        <f t="shared" si="5"/>
        <v>4800</v>
      </c>
    </row>
    <row r="18" spans="1:24" x14ac:dyDescent="0.25">
      <c r="A18" s="175">
        <v>31</v>
      </c>
      <c r="B18" s="163"/>
      <c r="C18" s="168"/>
      <c r="D18" s="77" t="s">
        <v>57</v>
      </c>
      <c r="E18" s="25"/>
      <c r="F18" s="26"/>
      <c r="G18" s="69"/>
    </row>
    <row r="19" spans="1:24" x14ac:dyDescent="0.25">
      <c r="A19" s="175">
        <v>32</v>
      </c>
      <c r="B19" s="163"/>
      <c r="C19" s="168"/>
      <c r="D19" s="77" t="s">
        <v>59</v>
      </c>
      <c r="E19" s="68">
        <v>1497.68</v>
      </c>
      <c r="F19" s="69">
        <v>1990.84</v>
      </c>
      <c r="G19" s="26">
        <v>4800</v>
      </c>
    </row>
    <row r="20" spans="1:24" x14ac:dyDescent="0.25">
      <c r="A20" s="78">
        <v>34</v>
      </c>
      <c r="B20" s="79"/>
      <c r="C20" s="80"/>
      <c r="D20" s="80" t="s">
        <v>60</v>
      </c>
      <c r="E20" s="68"/>
      <c r="F20" s="69"/>
      <c r="G20" s="69"/>
    </row>
    <row r="21" spans="1:24" x14ac:dyDescent="0.25">
      <c r="A21" s="78">
        <v>37</v>
      </c>
      <c r="B21" s="79"/>
      <c r="C21" s="80"/>
      <c r="D21" s="80" t="s">
        <v>246</v>
      </c>
      <c r="E21" s="68"/>
      <c r="F21" s="68"/>
      <c r="G21" s="69">
        <v>20</v>
      </c>
    </row>
    <row r="22" spans="1:24" ht="25.5" x14ac:dyDescent="0.25">
      <c r="A22" s="176">
        <v>4</v>
      </c>
      <c r="B22" s="163"/>
      <c r="C22" s="168"/>
      <c r="D22" s="75" t="s">
        <v>62</v>
      </c>
      <c r="E22" s="76">
        <f t="shared" ref="E22:F22" si="6">SUM(E23)</f>
        <v>0</v>
      </c>
      <c r="F22" s="76">
        <f t="shared" si="6"/>
        <v>0</v>
      </c>
      <c r="G22" s="81"/>
    </row>
    <row r="23" spans="1:24" ht="25.5" x14ac:dyDescent="0.25">
      <c r="A23" s="78">
        <v>42</v>
      </c>
      <c r="B23" s="79"/>
      <c r="C23" s="80"/>
      <c r="D23" s="80" t="s">
        <v>85</v>
      </c>
      <c r="E23" s="68"/>
      <c r="F23" s="69"/>
      <c r="G23" s="69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</row>
    <row r="24" spans="1:24" x14ac:dyDescent="0.25">
      <c r="A24" s="177" t="s">
        <v>87</v>
      </c>
      <c r="B24" s="163"/>
      <c r="C24" s="168"/>
      <c r="D24" s="82" t="s">
        <v>43</v>
      </c>
      <c r="E24" s="66">
        <f t="shared" ref="E24:F24" si="7">SUM(E25,E29)</f>
        <v>0</v>
      </c>
      <c r="F24" s="66">
        <f t="shared" si="7"/>
        <v>0</v>
      </c>
      <c r="G24" s="67"/>
    </row>
    <row r="25" spans="1:24" x14ac:dyDescent="0.25">
      <c r="A25" s="176">
        <v>3</v>
      </c>
      <c r="B25" s="163"/>
      <c r="C25" s="168"/>
      <c r="D25" s="75" t="s">
        <v>56</v>
      </c>
      <c r="E25" s="76"/>
      <c r="F25" s="81"/>
      <c r="G25" s="81">
        <v>300</v>
      </c>
    </row>
    <row r="26" spans="1:24" x14ac:dyDescent="0.25">
      <c r="A26" s="175">
        <v>31</v>
      </c>
      <c r="B26" s="163"/>
      <c r="C26" s="168"/>
      <c r="D26" s="77" t="s">
        <v>57</v>
      </c>
      <c r="E26" s="68"/>
      <c r="F26" s="69"/>
      <c r="G26" s="69"/>
    </row>
    <row r="27" spans="1:24" x14ac:dyDescent="0.25">
      <c r="A27" s="175">
        <v>32</v>
      </c>
      <c r="B27" s="163"/>
      <c r="C27" s="168"/>
      <c r="D27" s="77" t="s">
        <v>59</v>
      </c>
      <c r="E27" s="25"/>
      <c r="F27" s="26"/>
      <c r="G27" s="69">
        <v>300</v>
      </c>
    </row>
    <row r="28" spans="1:24" x14ac:dyDescent="0.25">
      <c r="A28" s="78">
        <v>34</v>
      </c>
      <c r="B28" s="79"/>
      <c r="C28" s="80"/>
      <c r="D28" s="80" t="s">
        <v>60</v>
      </c>
      <c r="E28" s="68"/>
      <c r="F28" s="69"/>
      <c r="G28" s="69"/>
    </row>
    <row r="29" spans="1:24" ht="25.5" x14ac:dyDescent="0.25">
      <c r="A29" s="176">
        <v>4</v>
      </c>
      <c r="B29" s="163"/>
      <c r="C29" s="168"/>
      <c r="D29" s="75" t="s">
        <v>62</v>
      </c>
      <c r="E29" s="76"/>
      <c r="F29" s="81"/>
      <c r="G29" s="81"/>
    </row>
    <row r="30" spans="1:24" ht="25.5" x14ac:dyDescent="0.25">
      <c r="A30" s="78">
        <v>42</v>
      </c>
      <c r="B30" s="79"/>
      <c r="C30" s="80"/>
      <c r="D30" s="80" t="s">
        <v>85</v>
      </c>
      <c r="E30" s="56"/>
      <c r="F30" s="69"/>
      <c r="G30" s="69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1:24" x14ac:dyDescent="0.25">
      <c r="A31" s="177" t="s">
        <v>88</v>
      </c>
      <c r="B31" s="163"/>
      <c r="C31" s="168"/>
      <c r="D31" s="73" t="s">
        <v>58</v>
      </c>
      <c r="E31" s="66">
        <f t="shared" ref="E31:G31" si="8">SUM(E32,E37)</f>
        <v>479269.02647820028</v>
      </c>
      <c r="F31" s="66">
        <f t="shared" si="8"/>
        <v>455902.84690424043</v>
      </c>
      <c r="G31" s="66">
        <f t="shared" si="8"/>
        <v>672663.42</v>
      </c>
    </row>
    <row r="32" spans="1:24" x14ac:dyDescent="0.25">
      <c r="A32" s="176">
        <v>3</v>
      </c>
      <c r="B32" s="163"/>
      <c r="C32" s="168"/>
      <c r="D32" s="75" t="s">
        <v>56</v>
      </c>
      <c r="E32" s="76">
        <f t="shared" ref="E32:G32" si="9">SUM(E33:E35)</f>
        <v>479269.02647820028</v>
      </c>
      <c r="F32" s="76">
        <f t="shared" si="9"/>
        <v>455902.84690424043</v>
      </c>
      <c r="G32" s="76">
        <f t="shared" si="9"/>
        <v>672663.42</v>
      </c>
    </row>
    <row r="33" spans="1:24" x14ac:dyDescent="0.25">
      <c r="A33" s="175">
        <v>31</v>
      </c>
      <c r="B33" s="163"/>
      <c r="C33" s="168"/>
      <c r="D33" s="77" t="s">
        <v>57</v>
      </c>
      <c r="E33" s="25">
        <f>3335355.35/7.5345</f>
        <v>442677.729112748</v>
      </c>
      <c r="F33" s="26">
        <f>3145000/7.5345</f>
        <v>417413.23246399889</v>
      </c>
      <c r="G33" s="26">
        <v>608300.5</v>
      </c>
    </row>
    <row r="34" spans="1:24" x14ac:dyDescent="0.25">
      <c r="A34" s="175">
        <v>32</v>
      </c>
      <c r="B34" s="163"/>
      <c r="C34" s="168"/>
      <c r="D34" s="77" t="s">
        <v>59</v>
      </c>
      <c r="E34" s="25">
        <f>263991.3/7.5345</f>
        <v>35037.666733028069</v>
      </c>
      <c r="F34" s="26">
        <f>289000/7.5345</f>
        <v>38356.891631826926</v>
      </c>
      <c r="G34" s="26">
        <f>96166.13-13000-803-0.21-20000</f>
        <v>62362.92</v>
      </c>
    </row>
    <row r="35" spans="1:24" x14ac:dyDescent="0.25">
      <c r="A35" s="78">
        <v>34</v>
      </c>
      <c r="B35" s="79"/>
      <c r="C35" s="80"/>
      <c r="D35" s="80" t="s">
        <v>60</v>
      </c>
      <c r="E35" s="25">
        <f>11705.83/7.5345</f>
        <v>1553.6306324241821</v>
      </c>
      <c r="F35" s="26">
        <f>1000/7.5345</f>
        <v>132.72280841462606</v>
      </c>
      <c r="G35" s="26">
        <v>2000</v>
      </c>
    </row>
    <row r="36" spans="1:24" x14ac:dyDescent="0.25">
      <c r="A36" s="78"/>
      <c r="B36" s="79"/>
      <c r="C36" s="80"/>
      <c r="D36" s="80"/>
      <c r="E36" s="25"/>
      <c r="F36" s="26"/>
      <c r="G36" s="26"/>
    </row>
    <row r="37" spans="1:24" ht="25.5" x14ac:dyDescent="0.25">
      <c r="A37" s="176">
        <v>4</v>
      </c>
      <c r="B37" s="163"/>
      <c r="C37" s="168"/>
      <c r="D37" s="75" t="s">
        <v>62</v>
      </c>
      <c r="E37" s="83">
        <f t="shared" ref="E37:G37" si="10">SUM(E38)</f>
        <v>0</v>
      </c>
      <c r="F37" s="83">
        <f t="shared" si="10"/>
        <v>0</v>
      </c>
      <c r="G37" s="83">
        <f t="shared" si="10"/>
        <v>0</v>
      </c>
    </row>
    <row r="38" spans="1:24" ht="25.5" x14ac:dyDescent="0.25">
      <c r="A38" s="78">
        <v>42</v>
      </c>
      <c r="B38" s="79"/>
      <c r="C38" s="80"/>
      <c r="D38" s="80" t="s">
        <v>85</v>
      </c>
      <c r="E38" s="56"/>
      <c r="F38" s="56"/>
      <c r="G38" s="54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</row>
    <row r="39" spans="1:24" x14ac:dyDescent="0.25">
      <c r="A39" s="177" t="s">
        <v>89</v>
      </c>
      <c r="B39" s="163"/>
      <c r="C39" s="168"/>
      <c r="D39" s="73" t="s">
        <v>46</v>
      </c>
      <c r="E39" s="84">
        <f>SUM(E40,E44)</f>
        <v>0</v>
      </c>
      <c r="F39" s="84"/>
      <c r="G39" s="84">
        <v>398.25</v>
      </c>
    </row>
    <row r="40" spans="1:24" x14ac:dyDescent="0.25">
      <c r="A40" s="176">
        <v>3</v>
      </c>
      <c r="B40" s="163"/>
      <c r="C40" s="168"/>
      <c r="D40" s="75" t="s">
        <v>56</v>
      </c>
      <c r="E40" s="85">
        <f>SUM(E41:E43)</f>
        <v>0</v>
      </c>
      <c r="F40" s="85"/>
      <c r="G40" s="85">
        <v>398.25</v>
      </c>
    </row>
    <row r="41" spans="1:24" x14ac:dyDescent="0.25">
      <c r="A41" s="175">
        <v>31</v>
      </c>
      <c r="B41" s="163"/>
      <c r="C41" s="168"/>
      <c r="D41" s="77" t="s">
        <v>57</v>
      </c>
      <c r="E41" s="54"/>
      <c r="F41" s="54"/>
      <c r="G41" s="54"/>
    </row>
    <row r="42" spans="1:24" x14ac:dyDescent="0.25">
      <c r="A42" s="175">
        <v>32</v>
      </c>
      <c r="B42" s="163"/>
      <c r="C42" s="168"/>
      <c r="D42" s="77" t="s">
        <v>59</v>
      </c>
      <c r="E42" s="54"/>
      <c r="F42" s="54"/>
      <c r="G42" s="26">
        <v>398.25</v>
      </c>
    </row>
    <row r="43" spans="1:24" x14ac:dyDescent="0.25">
      <c r="A43" s="78">
        <v>34</v>
      </c>
      <c r="B43" s="79"/>
      <c r="C43" s="80"/>
      <c r="D43" s="80" t="s">
        <v>60</v>
      </c>
      <c r="E43" s="54"/>
      <c r="F43" s="54"/>
      <c r="G43" s="54"/>
    </row>
    <row r="44" spans="1:24" ht="25.5" x14ac:dyDescent="0.25">
      <c r="A44" s="176">
        <v>4</v>
      </c>
      <c r="B44" s="163"/>
      <c r="C44" s="168"/>
      <c r="D44" s="75" t="s">
        <v>62</v>
      </c>
      <c r="E44" s="85">
        <f t="shared" ref="E44:F44" si="11">SUM(E45)</f>
        <v>0</v>
      </c>
      <c r="F44" s="85">
        <f t="shared" si="11"/>
        <v>0</v>
      </c>
      <c r="G44" s="85"/>
    </row>
    <row r="45" spans="1:24" ht="25.5" x14ac:dyDescent="0.25">
      <c r="A45" s="78">
        <v>42</v>
      </c>
      <c r="B45" s="79"/>
      <c r="C45" s="80"/>
      <c r="D45" s="80" t="s">
        <v>85</v>
      </c>
      <c r="E45" s="54"/>
      <c r="F45" s="54"/>
      <c r="G45" s="54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</row>
    <row r="46" spans="1:24" ht="25.5" x14ac:dyDescent="0.25">
      <c r="A46" s="177" t="s">
        <v>90</v>
      </c>
      <c r="B46" s="163"/>
      <c r="C46" s="168"/>
      <c r="D46" s="73" t="s">
        <v>91</v>
      </c>
      <c r="E46" s="86">
        <f t="shared" ref="E46:G46" si="12">SUM(E47)</f>
        <v>8631.0531554847694</v>
      </c>
      <c r="F46" s="86">
        <f t="shared" si="12"/>
        <v>9290.5965890238222</v>
      </c>
      <c r="G46" s="86">
        <f t="shared" si="12"/>
        <v>9400</v>
      </c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</row>
    <row r="47" spans="1:24" x14ac:dyDescent="0.25">
      <c r="A47" s="178" t="s">
        <v>88</v>
      </c>
      <c r="B47" s="163"/>
      <c r="C47" s="168"/>
      <c r="D47" s="74" t="s">
        <v>58</v>
      </c>
      <c r="E47" s="86">
        <f t="shared" ref="E47:G47" si="13">SUM(E48,E52)</f>
        <v>8631.0531554847694</v>
      </c>
      <c r="F47" s="86">
        <f t="shared" si="13"/>
        <v>9290.5965890238222</v>
      </c>
      <c r="G47" s="86">
        <f t="shared" si="13"/>
        <v>9400</v>
      </c>
    </row>
    <row r="48" spans="1:24" x14ac:dyDescent="0.25">
      <c r="A48" s="176">
        <v>3</v>
      </c>
      <c r="B48" s="163"/>
      <c r="C48" s="168"/>
      <c r="D48" s="75" t="s">
        <v>56</v>
      </c>
      <c r="E48" s="87">
        <f t="shared" ref="E48:G48" si="14">SUM(E49:E51)</f>
        <v>3717.9998672771912</v>
      </c>
      <c r="F48" s="87">
        <f t="shared" si="14"/>
        <v>3981.6842524387812</v>
      </c>
      <c r="G48" s="87">
        <f t="shared" si="14"/>
        <v>5600</v>
      </c>
    </row>
    <row r="49" spans="1:24" x14ac:dyDescent="0.25">
      <c r="A49" s="175">
        <v>32</v>
      </c>
      <c r="B49" s="163"/>
      <c r="C49" s="168"/>
      <c r="D49" s="77" t="s">
        <v>59</v>
      </c>
      <c r="E49" s="54"/>
      <c r="F49" s="54"/>
      <c r="G49" s="54"/>
    </row>
    <row r="50" spans="1:24" x14ac:dyDescent="0.25">
      <c r="A50" s="78">
        <v>34</v>
      </c>
      <c r="B50" s="79"/>
      <c r="C50" s="80"/>
      <c r="D50" s="80" t="s">
        <v>60</v>
      </c>
      <c r="E50" s="54"/>
      <c r="F50" s="54"/>
      <c r="G50" s="54"/>
    </row>
    <row r="51" spans="1:24" ht="38.25" x14ac:dyDescent="0.25">
      <c r="A51" s="78">
        <v>37</v>
      </c>
      <c r="B51" s="79"/>
      <c r="C51" s="80"/>
      <c r="D51" s="80" t="s">
        <v>61</v>
      </c>
      <c r="E51" s="25">
        <f>(28013.27/7.5345)</f>
        <v>3717.9998672771912</v>
      </c>
      <c r="F51" s="26">
        <f>30000/7.5345</f>
        <v>3981.6842524387812</v>
      </c>
      <c r="G51" s="26">
        <v>5600</v>
      </c>
    </row>
    <row r="52" spans="1:24" ht="25.5" x14ac:dyDescent="0.25">
      <c r="A52" s="176">
        <v>4</v>
      </c>
      <c r="B52" s="163"/>
      <c r="C52" s="168"/>
      <c r="D52" s="75" t="s">
        <v>62</v>
      </c>
      <c r="E52" s="83">
        <f t="shared" ref="E52:G52" si="15">SUM(E53)</f>
        <v>4913.0532882075786</v>
      </c>
      <c r="F52" s="83">
        <f t="shared" si="15"/>
        <v>5308.9123365850419</v>
      </c>
      <c r="G52" s="83">
        <f t="shared" si="15"/>
        <v>3800</v>
      </c>
    </row>
    <row r="53" spans="1:24" ht="25.5" x14ac:dyDescent="0.25">
      <c r="A53" s="78">
        <v>42</v>
      </c>
      <c r="B53" s="79"/>
      <c r="C53" s="80"/>
      <c r="D53" s="80" t="s">
        <v>85</v>
      </c>
      <c r="E53" s="56">
        <f>37017.4/7.5345</f>
        <v>4913.0532882075786</v>
      </c>
      <c r="F53" s="56">
        <f>40000/7.5345</f>
        <v>5308.9123365850419</v>
      </c>
      <c r="G53" s="54">
        <v>3800</v>
      </c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</row>
    <row r="54" spans="1:24" x14ac:dyDescent="0.25">
      <c r="A54" s="177" t="s">
        <v>92</v>
      </c>
      <c r="B54" s="163"/>
      <c r="C54" s="168"/>
      <c r="D54" s="73" t="s">
        <v>93</v>
      </c>
      <c r="E54" s="88">
        <f t="shared" ref="E54:G54" si="16">SUM(E55,E58)</f>
        <v>3109.1179832769262</v>
      </c>
      <c r="F54" s="88">
        <f t="shared" si="16"/>
        <v>3981.6842524387812</v>
      </c>
      <c r="G54" s="88">
        <f t="shared" si="16"/>
        <v>13000</v>
      </c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</row>
    <row r="55" spans="1:24" x14ac:dyDescent="0.25">
      <c r="A55" s="178" t="s">
        <v>88</v>
      </c>
      <c r="B55" s="163"/>
      <c r="C55" s="168"/>
      <c r="D55" s="74" t="s">
        <v>97</v>
      </c>
      <c r="E55" s="84">
        <f>SUM(E56)</f>
        <v>0</v>
      </c>
      <c r="F55" s="84"/>
      <c r="G55" s="84">
        <v>13000</v>
      </c>
    </row>
    <row r="56" spans="1:24" x14ac:dyDescent="0.25">
      <c r="A56" s="176">
        <v>3</v>
      </c>
      <c r="B56" s="163"/>
      <c r="C56" s="168"/>
      <c r="D56" s="75" t="s">
        <v>56</v>
      </c>
      <c r="E56" s="85"/>
      <c r="F56" s="85"/>
      <c r="G56" s="85">
        <v>13000</v>
      </c>
    </row>
    <row r="57" spans="1:24" x14ac:dyDescent="0.25">
      <c r="A57" s="175">
        <v>32</v>
      </c>
      <c r="B57" s="163"/>
      <c r="C57" s="168"/>
      <c r="D57" s="77" t="s">
        <v>59</v>
      </c>
      <c r="E57" s="25"/>
      <c r="F57" s="26"/>
      <c r="G57" s="54">
        <v>13000</v>
      </c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</row>
    <row r="58" spans="1:24" x14ac:dyDescent="0.25">
      <c r="A58" s="177" t="s">
        <v>87</v>
      </c>
      <c r="B58" s="163"/>
      <c r="C58" s="168"/>
      <c r="D58" s="82" t="s">
        <v>43</v>
      </c>
      <c r="E58" s="88">
        <f t="shared" ref="E58:G58" si="17">SUM(E59,E61)</f>
        <v>3109.1179832769262</v>
      </c>
      <c r="F58" s="88">
        <f t="shared" si="17"/>
        <v>3981.6842524387812</v>
      </c>
      <c r="G58" s="88">
        <f t="shared" si="17"/>
        <v>0</v>
      </c>
    </row>
    <row r="59" spans="1:24" x14ac:dyDescent="0.25">
      <c r="A59" s="176">
        <v>3</v>
      </c>
      <c r="B59" s="163"/>
      <c r="C59" s="168"/>
      <c r="D59" s="75" t="s">
        <v>56</v>
      </c>
      <c r="E59" s="83">
        <f t="shared" ref="E59:G59" si="18">SUM(E60)</f>
        <v>2697.81</v>
      </c>
      <c r="F59" s="83">
        <f t="shared" si="18"/>
        <v>3981.6842524387812</v>
      </c>
      <c r="G59" s="83">
        <f t="shared" si="18"/>
        <v>0</v>
      </c>
    </row>
    <row r="60" spans="1:24" x14ac:dyDescent="0.25">
      <c r="A60" s="175">
        <v>32</v>
      </c>
      <c r="B60" s="163"/>
      <c r="C60" s="168"/>
      <c r="D60" s="77" t="s">
        <v>59</v>
      </c>
      <c r="E60" s="25">
        <v>2697.81</v>
      </c>
      <c r="F60" s="26">
        <f>30000/7.5345</f>
        <v>3981.6842524387812</v>
      </c>
      <c r="G60" s="26"/>
    </row>
    <row r="61" spans="1:24" ht="25.5" x14ac:dyDescent="0.25">
      <c r="A61" s="176">
        <v>4</v>
      </c>
      <c r="B61" s="163"/>
      <c r="C61" s="168"/>
      <c r="D61" s="75" t="s">
        <v>62</v>
      </c>
      <c r="E61" s="89">
        <f t="shared" ref="E61:F61" si="19">SUM(E62)</f>
        <v>411.30798327692611</v>
      </c>
      <c r="F61" s="89">
        <f t="shared" si="19"/>
        <v>0</v>
      </c>
      <c r="G61" s="85"/>
    </row>
    <row r="62" spans="1:24" ht="25.5" x14ac:dyDescent="0.25">
      <c r="A62" s="78">
        <v>42</v>
      </c>
      <c r="B62" s="79"/>
      <c r="C62" s="80"/>
      <c r="D62" s="80" t="s">
        <v>85</v>
      </c>
      <c r="E62" s="56">
        <f>3099/7.5345</f>
        <v>411.30798327692611</v>
      </c>
      <c r="F62" s="54"/>
      <c r="G62" s="54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</row>
    <row r="63" spans="1:24" x14ac:dyDescent="0.25">
      <c r="A63" s="177" t="s">
        <v>94</v>
      </c>
      <c r="B63" s="163"/>
      <c r="C63" s="168"/>
      <c r="D63" s="73" t="s">
        <v>95</v>
      </c>
      <c r="E63" s="88">
        <f t="shared" ref="E63:G63" si="20">SUM(E64)</f>
        <v>0</v>
      </c>
      <c r="F63" s="88">
        <f t="shared" si="20"/>
        <v>7963.3685048775624</v>
      </c>
      <c r="G63" s="88">
        <f t="shared" si="20"/>
        <v>0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</row>
    <row r="64" spans="1:24" x14ac:dyDescent="0.25">
      <c r="A64" s="177" t="s">
        <v>96</v>
      </c>
      <c r="B64" s="163"/>
      <c r="C64" s="168"/>
      <c r="D64" s="73" t="s">
        <v>40</v>
      </c>
      <c r="E64" s="88">
        <f t="shared" ref="E64:G64" si="21">SUM(E65,E69)</f>
        <v>0</v>
      </c>
      <c r="F64" s="88">
        <f t="shared" si="21"/>
        <v>7963.3685048775624</v>
      </c>
      <c r="G64" s="88">
        <f t="shared" si="21"/>
        <v>0</v>
      </c>
    </row>
    <row r="65" spans="1:7" x14ac:dyDescent="0.25">
      <c r="A65" s="176">
        <v>3</v>
      </c>
      <c r="B65" s="163"/>
      <c r="C65" s="168"/>
      <c r="D65" s="75" t="s">
        <v>56</v>
      </c>
      <c r="E65" s="85">
        <f>SUM(E66:E68)</f>
        <v>0</v>
      </c>
      <c r="F65" s="90">
        <f>60000/7.5345</f>
        <v>7963.3685048775624</v>
      </c>
      <c r="G65" s="90"/>
    </row>
    <row r="66" spans="1:7" x14ac:dyDescent="0.25">
      <c r="A66" s="175">
        <v>31</v>
      </c>
      <c r="B66" s="163"/>
      <c r="C66" s="168"/>
      <c r="D66" s="77" t="s">
        <v>57</v>
      </c>
      <c r="E66" s="54"/>
      <c r="F66" s="54"/>
      <c r="G66" s="54"/>
    </row>
    <row r="67" spans="1:7" x14ac:dyDescent="0.25">
      <c r="A67" s="175">
        <v>32</v>
      </c>
      <c r="B67" s="163"/>
      <c r="C67" s="168"/>
      <c r="D67" s="77" t="s">
        <v>59</v>
      </c>
      <c r="E67" s="54"/>
      <c r="F67" s="56">
        <f>60000/7.5345</f>
        <v>7963.3685048775624</v>
      </c>
      <c r="G67" s="54"/>
    </row>
    <row r="68" spans="1:7" x14ac:dyDescent="0.25">
      <c r="A68" s="78">
        <v>34</v>
      </c>
      <c r="B68" s="79"/>
      <c r="C68" s="80"/>
      <c r="D68" s="80" t="s">
        <v>60</v>
      </c>
      <c r="E68" s="54"/>
      <c r="F68" s="54"/>
      <c r="G68" s="54"/>
    </row>
    <row r="69" spans="1:7" ht="25.5" x14ac:dyDescent="0.25">
      <c r="A69" s="176">
        <v>4</v>
      </c>
      <c r="B69" s="163"/>
      <c r="C69" s="168"/>
      <c r="D69" s="75" t="s">
        <v>62</v>
      </c>
      <c r="E69" s="85">
        <f t="shared" ref="E69:F69" si="22">SUM(E70)</f>
        <v>0</v>
      </c>
      <c r="F69" s="85">
        <f t="shared" si="22"/>
        <v>0</v>
      </c>
      <c r="G69" s="85"/>
    </row>
    <row r="70" spans="1:7" ht="25.5" x14ac:dyDescent="0.25">
      <c r="A70" s="78">
        <v>42</v>
      </c>
      <c r="B70" s="79"/>
      <c r="C70" s="80"/>
      <c r="D70" s="80" t="s">
        <v>85</v>
      </c>
      <c r="E70" s="54"/>
      <c r="F70" s="54"/>
      <c r="G70" s="54"/>
    </row>
    <row r="71" spans="1:7" ht="32.25" customHeight="1" x14ac:dyDescent="0.25">
      <c r="A71" s="177" t="s">
        <v>244</v>
      </c>
      <c r="B71" s="163"/>
      <c r="C71" s="168"/>
      <c r="D71" s="73" t="s">
        <v>245</v>
      </c>
      <c r="E71" s="88">
        <f t="shared" ref="E71:G71" si="23">SUM(E72)</f>
        <v>0</v>
      </c>
      <c r="F71" s="88">
        <f t="shared" si="23"/>
        <v>0</v>
      </c>
      <c r="G71" s="88">
        <f t="shared" si="23"/>
        <v>101513.27</v>
      </c>
    </row>
    <row r="72" spans="1:7" ht="53.25" customHeight="1" x14ac:dyDescent="0.25">
      <c r="A72" s="177" t="s">
        <v>88</v>
      </c>
      <c r="B72" s="163"/>
      <c r="C72" s="168"/>
      <c r="D72" s="73" t="s">
        <v>97</v>
      </c>
      <c r="E72" s="88">
        <f t="shared" ref="E72:G72" si="24">SUM(E73,E77)</f>
        <v>0</v>
      </c>
      <c r="F72" s="88">
        <f t="shared" si="24"/>
        <v>0</v>
      </c>
      <c r="G72" s="88">
        <f t="shared" si="24"/>
        <v>101513.27</v>
      </c>
    </row>
    <row r="73" spans="1:7" ht="14.25" customHeight="1" x14ac:dyDescent="0.25">
      <c r="A73" s="176">
        <v>3</v>
      </c>
      <c r="B73" s="163"/>
      <c r="C73" s="168"/>
      <c r="D73" s="75" t="s">
        <v>56</v>
      </c>
      <c r="E73" s="85">
        <f>SUM(E74:E76)</f>
        <v>0</v>
      </c>
      <c r="F73" s="85">
        <f t="shared" ref="F73:G73" si="25">SUM(F74:F76)</f>
        <v>0</v>
      </c>
      <c r="G73" s="85">
        <f t="shared" si="25"/>
        <v>22000</v>
      </c>
    </row>
    <row r="74" spans="1:7" ht="14.25" customHeight="1" x14ac:dyDescent="0.25">
      <c r="A74" s="175">
        <v>31</v>
      </c>
      <c r="B74" s="163"/>
      <c r="C74" s="168"/>
      <c r="D74" s="77" t="s">
        <v>57</v>
      </c>
      <c r="E74" s="54"/>
      <c r="F74" s="54"/>
      <c r="G74" s="54">
        <v>2000</v>
      </c>
    </row>
    <row r="75" spans="1:7" ht="14.25" customHeight="1" x14ac:dyDescent="0.25">
      <c r="A75" s="175">
        <v>32</v>
      </c>
      <c r="B75" s="163"/>
      <c r="C75" s="168"/>
      <c r="D75" s="77" t="s">
        <v>59</v>
      </c>
      <c r="E75" s="54"/>
      <c r="F75" s="56"/>
      <c r="G75" s="54">
        <v>20000</v>
      </c>
    </row>
    <row r="76" spans="1:7" ht="14.25" customHeight="1" x14ac:dyDescent="0.25">
      <c r="A76" s="78">
        <v>34</v>
      </c>
      <c r="B76" s="79"/>
      <c r="C76" s="80"/>
      <c r="D76" s="80" t="s">
        <v>60</v>
      </c>
      <c r="E76" s="54"/>
      <c r="F76" s="54"/>
      <c r="G76" s="54"/>
    </row>
    <row r="77" spans="1:7" ht="40.5" customHeight="1" x14ac:dyDescent="0.25">
      <c r="A77" s="176">
        <v>4</v>
      </c>
      <c r="B77" s="163"/>
      <c r="C77" s="168"/>
      <c r="D77" s="75" t="s">
        <v>62</v>
      </c>
      <c r="E77" s="85">
        <f t="shared" ref="E77:F77" si="26">SUM(E78)</f>
        <v>0</v>
      </c>
      <c r="F77" s="85">
        <f t="shared" si="26"/>
        <v>0</v>
      </c>
      <c r="G77" s="83">
        <f>G78</f>
        <v>79513.27</v>
      </c>
    </row>
    <row r="78" spans="1:7" ht="30.75" customHeight="1" x14ac:dyDescent="0.25">
      <c r="A78" s="78">
        <v>42</v>
      </c>
      <c r="B78" s="79"/>
      <c r="C78" s="80"/>
      <c r="D78" s="80" t="s">
        <v>85</v>
      </c>
      <c r="E78" s="54"/>
      <c r="F78" s="54"/>
      <c r="G78" s="56">
        <f>83313.27-3800</f>
        <v>79513.27</v>
      </c>
    </row>
    <row r="79" spans="1:7" ht="14.25" customHeight="1" x14ac:dyDescent="0.25"/>
    <row r="80" spans="1:7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55">
    <mergeCell ref="A77:C77"/>
    <mergeCell ref="A71:C71"/>
    <mergeCell ref="A72:C72"/>
    <mergeCell ref="A73:C73"/>
    <mergeCell ref="A74:C74"/>
    <mergeCell ref="A75:C75"/>
    <mergeCell ref="A2:G2"/>
    <mergeCell ref="A4:G4"/>
    <mergeCell ref="A6:C6"/>
    <mergeCell ref="A7:C7"/>
    <mergeCell ref="A8:C8"/>
    <mergeCell ref="A9:C9"/>
    <mergeCell ref="A10:C10"/>
    <mergeCell ref="A11:C11"/>
    <mergeCell ref="A12:C12"/>
    <mergeCell ref="A14:C14"/>
    <mergeCell ref="A16:C16"/>
    <mergeCell ref="A17:C17"/>
    <mergeCell ref="A18:C18"/>
    <mergeCell ref="A19:C19"/>
    <mergeCell ref="A22:C22"/>
    <mergeCell ref="A24:C24"/>
    <mergeCell ref="A25:C25"/>
    <mergeCell ref="A26:C26"/>
    <mergeCell ref="A27:C27"/>
    <mergeCell ref="A29:C29"/>
    <mergeCell ref="A31:C31"/>
    <mergeCell ref="A32:C32"/>
    <mergeCell ref="A33:C33"/>
    <mergeCell ref="A34:C34"/>
    <mergeCell ref="A37:C37"/>
    <mergeCell ref="A39:C39"/>
    <mergeCell ref="A40:C40"/>
    <mergeCell ref="A41:C41"/>
    <mergeCell ref="A42:C42"/>
    <mergeCell ref="A44:C44"/>
    <mergeCell ref="A46:C46"/>
    <mergeCell ref="A47:C47"/>
    <mergeCell ref="A48:C48"/>
    <mergeCell ref="A49:C49"/>
    <mergeCell ref="A52:C52"/>
    <mergeCell ref="A67:C67"/>
    <mergeCell ref="A69:C69"/>
    <mergeCell ref="A54:C54"/>
    <mergeCell ref="A55:C55"/>
    <mergeCell ref="A56:C56"/>
    <mergeCell ref="A57:C57"/>
    <mergeCell ref="A58:C58"/>
    <mergeCell ref="A59:C59"/>
    <mergeCell ref="A60:C60"/>
    <mergeCell ref="A61:C61"/>
    <mergeCell ref="A63:C63"/>
    <mergeCell ref="A64:C64"/>
    <mergeCell ref="A65:C65"/>
    <mergeCell ref="A66:C66"/>
  </mergeCells>
  <pageMargins left="0.7" right="0.7" top="0.75" bottom="0.75" header="0" footer="0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6DF3B-318D-4AA5-972F-9D60D8003F39}">
  <sheetPr>
    <tabColor rgb="FFFF0000"/>
    <pageSetUpPr fitToPage="1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D2DF1-C166-49A7-BE02-7702676AF5B2}">
  <sheetPr>
    <tabColor theme="9" tint="-0.249977111117893"/>
    <pageSetUpPr fitToPage="1"/>
  </sheetPr>
  <dimension ref="A1:I68"/>
  <sheetViews>
    <sheetView tabSelected="1" topLeftCell="A36" workbookViewId="0">
      <selection activeCell="B1" sqref="B1:I68"/>
    </sheetView>
  </sheetViews>
  <sheetFormatPr defaultRowHeight="15" x14ac:dyDescent="0.25"/>
  <cols>
    <col min="1" max="1" width="3.7109375" customWidth="1"/>
    <col min="2" max="2" width="7.5703125" customWidth="1"/>
    <col min="3" max="3" width="10.42578125" customWidth="1"/>
    <col min="4" max="4" width="7.85546875" customWidth="1"/>
    <col min="5" max="5" width="39.7109375" customWidth="1"/>
    <col min="6" max="6" width="25.140625" customWidth="1"/>
    <col min="7" max="7" width="17.28515625" customWidth="1"/>
    <col min="8" max="8" width="19.7109375" customWidth="1"/>
    <col min="9" max="9" width="31.7109375" customWidth="1"/>
  </cols>
  <sheetData>
    <row r="1" spans="1:9" ht="15.75" x14ac:dyDescent="0.25">
      <c r="B1" s="91" t="s">
        <v>98</v>
      </c>
      <c r="C1" s="91"/>
      <c r="D1" s="92"/>
      <c r="E1" s="92"/>
      <c r="F1" s="92"/>
      <c r="G1" s="92"/>
      <c r="H1" s="93"/>
      <c r="I1" s="92"/>
    </row>
    <row r="2" spans="1:9" ht="15.75" x14ac:dyDescent="0.25">
      <c r="B2" s="91" t="s">
        <v>99</v>
      </c>
      <c r="C2" s="91"/>
      <c r="D2" s="92"/>
      <c r="E2" s="92"/>
      <c r="F2" s="92"/>
      <c r="G2" s="92"/>
      <c r="H2" s="93"/>
      <c r="I2" s="92"/>
    </row>
    <row r="3" spans="1:9" ht="15.75" x14ac:dyDescent="0.25">
      <c r="B3" s="91" t="s">
        <v>100</v>
      </c>
      <c r="C3" s="91"/>
      <c r="D3" s="92"/>
      <c r="E3" s="92"/>
      <c r="F3" s="92"/>
      <c r="G3" s="92"/>
      <c r="H3" s="93"/>
      <c r="I3" s="92"/>
    </row>
    <row r="4" spans="1:9" ht="15.75" x14ac:dyDescent="0.25">
      <c r="B4" s="94"/>
      <c r="C4" s="91"/>
      <c r="D4" s="91"/>
      <c r="E4" s="95"/>
      <c r="F4" s="95"/>
      <c r="G4" s="96"/>
      <c r="H4" s="93"/>
      <c r="I4" s="97"/>
    </row>
    <row r="5" spans="1:9" ht="15.75" x14ac:dyDescent="0.25">
      <c r="B5" s="94"/>
      <c r="C5" s="91"/>
      <c r="D5" s="91"/>
      <c r="E5" s="95"/>
      <c r="F5" s="95"/>
      <c r="G5" s="96"/>
      <c r="H5" s="93"/>
      <c r="I5" s="97"/>
    </row>
    <row r="6" spans="1:9" ht="15.75" x14ac:dyDescent="0.25">
      <c r="B6" s="91"/>
      <c r="C6" s="91"/>
      <c r="D6" s="98"/>
      <c r="E6" s="96"/>
      <c r="F6" s="96"/>
      <c r="G6" s="96"/>
      <c r="H6" s="93"/>
      <c r="I6" s="97"/>
    </row>
    <row r="7" spans="1:9" ht="15.75" x14ac:dyDescent="0.25">
      <c r="B7" s="91"/>
      <c r="C7" s="91"/>
      <c r="D7" s="98"/>
      <c r="E7" s="96"/>
      <c r="F7" s="96"/>
      <c r="G7" s="96"/>
      <c r="H7" s="93"/>
      <c r="I7" s="97"/>
    </row>
    <row r="8" spans="1:9" ht="15.75" x14ac:dyDescent="0.25">
      <c r="B8" s="91"/>
      <c r="C8" s="91"/>
      <c r="D8" s="98"/>
      <c r="E8" s="96"/>
      <c r="F8" s="96"/>
      <c r="G8" s="96"/>
      <c r="H8" s="93"/>
      <c r="I8" s="97"/>
    </row>
    <row r="9" spans="1:9" x14ac:dyDescent="0.25">
      <c r="B9" s="183" t="s">
        <v>101</v>
      </c>
      <c r="C9" s="183"/>
      <c r="D9" s="183"/>
      <c r="E9" s="183"/>
      <c r="F9" s="183"/>
      <c r="G9" s="183"/>
      <c r="H9" s="183"/>
      <c r="I9" s="183"/>
    </row>
    <row r="10" spans="1:9" x14ac:dyDescent="0.25">
      <c r="B10" s="183" t="s">
        <v>102</v>
      </c>
      <c r="C10" s="183"/>
      <c r="D10" s="183"/>
      <c r="E10" s="183"/>
      <c r="F10" s="183"/>
      <c r="G10" s="183"/>
      <c r="H10" s="183"/>
      <c r="I10" s="183"/>
    </row>
    <row r="11" spans="1:9" ht="15.75" x14ac:dyDescent="0.25">
      <c r="B11" s="96"/>
      <c r="C11" s="96"/>
      <c r="D11" s="92"/>
      <c r="E11" s="96"/>
      <c r="F11" s="96"/>
      <c r="G11" s="96"/>
      <c r="H11" s="93"/>
      <c r="I11" s="97"/>
    </row>
    <row r="12" spans="1:9" ht="18.75" x14ac:dyDescent="0.3">
      <c r="B12" s="184" t="s">
        <v>103</v>
      </c>
      <c r="C12" s="184"/>
      <c r="D12" s="184"/>
      <c r="E12" s="184"/>
      <c r="F12" s="184"/>
      <c r="G12" s="184"/>
      <c r="H12" s="184"/>
      <c r="I12" s="184"/>
    </row>
    <row r="13" spans="1:9" ht="15.75" x14ac:dyDescent="0.25">
      <c r="B13" s="92"/>
      <c r="C13" s="92"/>
      <c r="D13" s="92"/>
      <c r="E13" s="99"/>
      <c r="F13" s="99"/>
      <c r="G13" s="99"/>
      <c r="H13" s="100"/>
      <c r="I13" s="99"/>
    </row>
    <row r="14" spans="1:9" x14ac:dyDescent="0.25">
      <c r="A14" s="101"/>
      <c r="B14" s="185" t="s">
        <v>104</v>
      </c>
      <c r="C14" s="185" t="s">
        <v>105</v>
      </c>
      <c r="D14" s="185" t="s">
        <v>106</v>
      </c>
      <c r="E14" s="102"/>
      <c r="F14" s="185" t="s">
        <v>107</v>
      </c>
      <c r="G14" s="185" t="s">
        <v>108</v>
      </c>
      <c r="H14" s="187" t="s">
        <v>109</v>
      </c>
      <c r="I14" s="185" t="s">
        <v>110</v>
      </c>
    </row>
    <row r="15" spans="1:9" x14ac:dyDescent="0.25">
      <c r="A15" s="101"/>
      <c r="B15" s="186"/>
      <c r="C15" s="186"/>
      <c r="D15" s="186"/>
      <c r="E15" s="180" t="s">
        <v>111</v>
      </c>
      <c r="F15" s="186"/>
      <c r="G15" s="186"/>
      <c r="H15" s="188"/>
      <c r="I15" s="186"/>
    </row>
    <row r="16" spans="1:9" x14ac:dyDescent="0.25">
      <c r="A16" s="101"/>
      <c r="B16" s="186"/>
      <c r="C16" s="186"/>
      <c r="D16" s="186"/>
      <c r="E16" s="181"/>
      <c r="F16" s="186"/>
      <c r="G16" s="186"/>
      <c r="H16" s="188"/>
      <c r="I16" s="186"/>
    </row>
    <row r="17" spans="1:9" x14ac:dyDescent="0.25">
      <c r="A17" s="101"/>
      <c r="B17" s="102"/>
      <c r="C17" s="102"/>
      <c r="D17" s="102">
        <v>3221</v>
      </c>
      <c r="E17" s="105" t="s">
        <v>112</v>
      </c>
      <c r="F17" s="105"/>
      <c r="G17" s="106">
        <f>SUM(G18:G22)</f>
        <v>10139.75</v>
      </c>
      <c r="H17" s="107"/>
      <c r="I17" s="108"/>
    </row>
    <row r="18" spans="1:9" x14ac:dyDescent="0.25">
      <c r="A18" s="101"/>
      <c r="B18" s="109" t="s">
        <v>113</v>
      </c>
      <c r="C18" s="109" t="s">
        <v>114</v>
      </c>
      <c r="D18" s="109">
        <v>32211</v>
      </c>
      <c r="E18" s="110" t="s">
        <v>115</v>
      </c>
      <c r="F18" s="111" t="s">
        <v>116</v>
      </c>
      <c r="G18" s="112">
        <v>2500</v>
      </c>
      <c r="H18" s="113" t="s">
        <v>117</v>
      </c>
      <c r="I18" s="114" t="s">
        <v>118</v>
      </c>
    </row>
    <row r="19" spans="1:9" ht="24.75" x14ac:dyDescent="0.25">
      <c r="A19" s="101"/>
      <c r="B19" s="109" t="s">
        <v>119</v>
      </c>
      <c r="C19" s="109" t="s">
        <v>120</v>
      </c>
      <c r="D19" s="109">
        <v>32212</v>
      </c>
      <c r="E19" s="110" t="s">
        <v>121</v>
      </c>
      <c r="F19" s="111" t="s">
        <v>122</v>
      </c>
      <c r="G19" s="112">
        <v>639.75</v>
      </c>
      <c r="H19" s="113" t="s">
        <v>117</v>
      </c>
      <c r="I19" s="114" t="s">
        <v>118</v>
      </c>
    </row>
    <row r="20" spans="1:9" x14ac:dyDescent="0.25">
      <c r="A20" s="101"/>
      <c r="B20" s="109" t="s">
        <v>123</v>
      </c>
      <c r="C20" s="109" t="s">
        <v>124</v>
      </c>
      <c r="D20" s="109">
        <v>32214</v>
      </c>
      <c r="E20" s="115" t="s">
        <v>125</v>
      </c>
      <c r="F20" s="111" t="s">
        <v>126</v>
      </c>
      <c r="G20" s="112">
        <v>2200</v>
      </c>
      <c r="H20" s="113" t="s">
        <v>117</v>
      </c>
      <c r="I20" s="114" t="s">
        <v>118</v>
      </c>
    </row>
    <row r="21" spans="1:9" x14ac:dyDescent="0.25">
      <c r="A21" s="101"/>
      <c r="B21" s="109" t="s">
        <v>127</v>
      </c>
      <c r="C21" s="109" t="s">
        <v>128</v>
      </c>
      <c r="D21" s="109">
        <v>32216</v>
      </c>
      <c r="E21" s="110" t="s">
        <v>129</v>
      </c>
      <c r="F21" s="111" t="s">
        <v>130</v>
      </c>
      <c r="G21" s="112">
        <v>2300</v>
      </c>
      <c r="H21" s="113" t="s">
        <v>117</v>
      </c>
      <c r="I21" s="114" t="s">
        <v>118</v>
      </c>
    </row>
    <row r="22" spans="1:9" x14ac:dyDescent="0.25">
      <c r="A22" s="101"/>
      <c r="B22" s="109" t="s">
        <v>131</v>
      </c>
      <c r="C22" s="109" t="s">
        <v>132</v>
      </c>
      <c r="D22" s="109">
        <v>32219</v>
      </c>
      <c r="E22" s="110" t="s">
        <v>133</v>
      </c>
      <c r="F22" s="111" t="s">
        <v>134</v>
      </c>
      <c r="G22" s="112">
        <v>2500</v>
      </c>
      <c r="H22" s="113" t="s">
        <v>117</v>
      </c>
      <c r="I22" s="114" t="s">
        <v>118</v>
      </c>
    </row>
    <row r="23" spans="1:9" x14ac:dyDescent="0.25">
      <c r="A23" s="101"/>
      <c r="B23" s="102"/>
      <c r="C23" s="102"/>
      <c r="D23" s="102">
        <v>3222</v>
      </c>
      <c r="E23" s="105" t="s">
        <v>135</v>
      </c>
      <c r="F23" s="111"/>
      <c r="G23" s="116">
        <f>SUM(G24:G28)</f>
        <v>8857.3221262193911</v>
      </c>
      <c r="H23" s="117"/>
      <c r="I23" s="118"/>
    </row>
    <row r="24" spans="1:9" ht="24.75" x14ac:dyDescent="0.25">
      <c r="A24" s="119"/>
      <c r="B24" s="120" t="s">
        <v>136</v>
      </c>
      <c r="C24" s="109" t="s">
        <v>137</v>
      </c>
      <c r="D24" s="120">
        <v>32224</v>
      </c>
      <c r="E24" s="115" t="s">
        <v>138</v>
      </c>
      <c r="F24" s="111" t="s">
        <v>139</v>
      </c>
      <c r="G24" s="112">
        <v>1990.8421262193906</v>
      </c>
      <c r="H24" s="121" t="s">
        <v>117</v>
      </c>
      <c r="I24" s="122" t="s">
        <v>118</v>
      </c>
    </row>
    <row r="25" spans="1:9" ht="24.75" x14ac:dyDescent="0.25">
      <c r="A25" s="119"/>
      <c r="B25" s="120"/>
      <c r="C25" s="109" t="s">
        <v>140</v>
      </c>
      <c r="D25" s="120"/>
      <c r="E25" s="115" t="s">
        <v>141</v>
      </c>
      <c r="F25" s="111" t="s">
        <v>142</v>
      </c>
      <c r="G25" s="112">
        <v>1416.48</v>
      </c>
      <c r="H25" s="121" t="s">
        <v>117</v>
      </c>
      <c r="I25" s="122" t="s">
        <v>118</v>
      </c>
    </row>
    <row r="26" spans="1:9" ht="24.75" x14ac:dyDescent="0.25">
      <c r="A26" s="119"/>
      <c r="B26" s="120"/>
      <c r="C26" s="109" t="s">
        <v>143</v>
      </c>
      <c r="D26" s="120"/>
      <c r="E26" s="115" t="s">
        <v>144</v>
      </c>
      <c r="F26" s="111" t="s">
        <v>145</v>
      </c>
      <c r="G26" s="112">
        <v>2300</v>
      </c>
      <c r="H26" s="121" t="s">
        <v>117</v>
      </c>
      <c r="I26" s="122" t="s">
        <v>118</v>
      </c>
    </row>
    <row r="27" spans="1:9" x14ac:dyDescent="0.25">
      <c r="A27" s="119"/>
      <c r="B27" s="120"/>
      <c r="C27" s="109" t="s">
        <v>146</v>
      </c>
      <c r="D27" s="120"/>
      <c r="E27" s="123" t="s">
        <v>147</v>
      </c>
      <c r="F27" s="111" t="s">
        <v>148</v>
      </c>
      <c r="G27" s="112">
        <v>650</v>
      </c>
      <c r="H27" s="121" t="s">
        <v>117</v>
      </c>
      <c r="I27" s="122" t="s">
        <v>118</v>
      </c>
    </row>
    <row r="28" spans="1:9" x14ac:dyDescent="0.25">
      <c r="A28" s="119"/>
      <c r="B28" s="120" t="s">
        <v>149</v>
      </c>
      <c r="C28" s="109" t="s">
        <v>150</v>
      </c>
      <c r="D28" s="120">
        <v>32229</v>
      </c>
      <c r="E28" s="123" t="s">
        <v>151</v>
      </c>
      <c r="F28" s="111" t="s">
        <v>152</v>
      </c>
      <c r="G28" s="112">
        <v>2500</v>
      </c>
      <c r="H28" s="121" t="s">
        <v>117</v>
      </c>
      <c r="I28" s="114" t="s">
        <v>118</v>
      </c>
    </row>
    <row r="29" spans="1:9" x14ac:dyDescent="0.25">
      <c r="A29" s="101"/>
      <c r="B29" s="102"/>
      <c r="C29" s="102"/>
      <c r="D29" s="102">
        <v>3223</v>
      </c>
      <c r="E29" s="105" t="s">
        <v>153</v>
      </c>
      <c r="F29" s="111"/>
      <c r="G29" s="106">
        <f>SUM(G30:G32)</f>
        <v>24230.21863560953</v>
      </c>
      <c r="H29" s="117"/>
      <c r="I29" s="118"/>
    </row>
    <row r="30" spans="1:9" x14ac:dyDescent="0.25">
      <c r="A30" s="101"/>
      <c r="B30" s="124" t="s">
        <v>154</v>
      </c>
      <c r="C30" s="109" t="s">
        <v>155</v>
      </c>
      <c r="D30" s="109">
        <v>32231</v>
      </c>
      <c r="E30" s="111" t="s">
        <v>156</v>
      </c>
      <c r="F30" s="111" t="s">
        <v>157</v>
      </c>
      <c r="G30" s="112">
        <v>3716.2386356095294</v>
      </c>
      <c r="H30" s="125" t="s">
        <v>158</v>
      </c>
      <c r="I30" s="114" t="s">
        <v>159</v>
      </c>
    </row>
    <row r="31" spans="1:9" x14ac:dyDescent="0.25">
      <c r="A31" s="101"/>
      <c r="B31" s="124" t="s">
        <v>160</v>
      </c>
      <c r="C31" s="109" t="s">
        <v>161</v>
      </c>
      <c r="D31" s="109">
        <v>32233</v>
      </c>
      <c r="E31" s="111" t="s">
        <v>162</v>
      </c>
      <c r="F31" s="111" t="s">
        <v>163</v>
      </c>
      <c r="G31" s="112">
        <v>19213.98</v>
      </c>
      <c r="H31" s="125" t="s">
        <v>158</v>
      </c>
      <c r="I31" s="114" t="s">
        <v>159</v>
      </c>
    </row>
    <row r="32" spans="1:9" x14ac:dyDescent="0.25">
      <c r="A32" s="101"/>
      <c r="B32" s="124" t="s">
        <v>164</v>
      </c>
      <c r="C32" s="109" t="s">
        <v>165</v>
      </c>
      <c r="D32" s="109">
        <v>32234</v>
      </c>
      <c r="E32" s="111" t="s">
        <v>166</v>
      </c>
      <c r="F32" s="111"/>
      <c r="G32" s="112">
        <v>1300</v>
      </c>
      <c r="H32" s="113"/>
      <c r="I32" s="114" t="s">
        <v>118</v>
      </c>
    </row>
    <row r="33" spans="1:9" x14ac:dyDescent="0.25">
      <c r="A33" s="101"/>
      <c r="B33" s="102"/>
      <c r="C33" s="102"/>
      <c r="D33" s="102">
        <v>3224</v>
      </c>
      <c r="E33" s="126" t="s">
        <v>167</v>
      </c>
      <c r="F33" s="111"/>
      <c r="G33" s="106">
        <f>SUM(G34:G35)</f>
        <v>796.33685048775624</v>
      </c>
      <c r="H33" s="107"/>
      <c r="I33" s="118"/>
    </row>
    <row r="34" spans="1:9" x14ac:dyDescent="0.25">
      <c r="A34" s="101"/>
      <c r="B34" s="109" t="s">
        <v>168</v>
      </c>
      <c r="C34" s="109" t="s">
        <v>169</v>
      </c>
      <c r="D34" s="109">
        <v>32241</v>
      </c>
      <c r="E34" s="111" t="s">
        <v>170</v>
      </c>
      <c r="F34" s="111" t="s">
        <v>171</v>
      </c>
      <c r="G34" s="112">
        <v>132.72280841462606</v>
      </c>
      <c r="H34" s="121" t="s">
        <v>117</v>
      </c>
      <c r="I34" s="114" t="s">
        <v>118</v>
      </c>
    </row>
    <row r="35" spans="1:9" x14ac:dyDescent="0.25">
      <c r="A35" s="101"/>
      <c r="B35" s="109" t="s">
        <v>172</v>
      </c>
      <c r="C35" s="109" t="s">
        <v>173</v>
      </c>
      <c r="D35" s="109">
        <v>32242</v>
      </c>
      <c r="E35" s="111" t="s">
        <v>174</v>
      </c>
      <c r="F35" s="111" t="s">
        <v>171</v>
      </c>
      <c r="G35" s="112">
        <v>663.61404207313024</v>
      </c>
      <c r="H35" s="121" t="s">
        <v>117</v>
      </c>
      <c r="I35" s="114" t="s">
        <v>118</v>
      </c>
    </row>
    <row r="36" spans="1:9" x14ac:dyDescent="0.25">
      <c r="A36" s="101"/>
      <c r="B36" s="102"/>
      <c r="C36" s="102"/>
      <c r="D36" s="102">
        <v>3225</v>
      </c>
      <c r="E36" s="126" t="s">
        <v>175</v>
      </c>
      <c r="F36" s="111"/>
      <c r="G36" s="116">
        <f>SUM(G37)</f>
        <v>12000</v>
      </c>
      <c r="H36" s="127"/>
      <c r="I36" s="118"/>
    </row>
    <row r="37" spans="1:9" x14ac:dyDescent="0.25">
      <c r="A37" s="101"/>
      <c r="B37" s="120" t="s">
        <v>176</v>
      </c>
      <c r="C37" s="109" t="s">
        <v>177</v>
      </c>
      <c r="D37" s="120">
        <v>32251</v>
      </c>
      <c r="E37" s="128" t="s">
        <v>250</v>
      </c>
      <c r="F37" s="111" t="s">
        <v>116</v>
      </c>
      <c r="G37" s="112">
        <v>12000</v>
      </c>
      <c r="H37" s="121" t="s">
        <v>117</v>
      </c>
      <c r="I37" s="114" t="s">
        <v>118</v>
      </c>
    </row>
    <row r="38" spans="1:9" x14ac:dyDescent="0.25">
      <c r="A38" s="101"/>
      <c r="B38" s="102"/>
      <c r="C38" s="102"/>
      <c r="D38" s="102">
        <v>3226</v>
      </c>
      <c r="E38" s="126" t="s">
        <v>178</v>
      </c>
      <c r="F38" s="111"/>
      <c r="G38" s="106">
        <v>0</v>
      </c>
      <c r="H38" s="129"/>
      <c r="I38" s="118"/>
    </row>
    <row r="39" spans="1:9" x14ac:dyDescent="0.25">
      <c r="A39" s="101"/>
      <c r="B39" s="102"/>
      <c r="C39" s="102"/>
      <c r="D39" s="102">
        <v>3227</v>
      </c>
      <c r="E39" s="130" t="s">
        <v>179</v>
      </c>
      <c r="F39" s="111"/>
      <c r="G39" s="106">
        <f>SUM(G40)</f>
        <v>132.72280841462606</v>
      </c>
      <c r="H39" s="129"/>
      <c r="I39" s="118"/>
    </row>
    <row r="40" spans="1:9" x14ac:dyDescent="0.25">
      <c r="A40" s="101"/>
      <c r="B40" s="120" t="s">
        <v>180</v>
      </c>
      <c r="C40" s="120" t="s">
        <v>181</v>
      </c>
      <c r="D40" s="131">
        <v>32271</v>
      </c>
      <c r="E40" s="132" t="s">
        <v>182</v>
      </c>
      <c r="F40" s="111" t="s">
        <v>183</v>
      </c>
      <c r="G40" s="112">
        <v>132.72280841462606</v>
      </c>
      <c r="H40" s="121" t="s">
        <v>117</v>
      </c>
      <c r="I40" s="114" t="s">
        <v>118</v>
      </c>
    </row>
    <row r="41" spans="1:9" x14ac:dyDescent="0.25">
      <c r="A41" s="101"/>
      <c r="B41" s="102"/>
      <c r="C41" s="102"/>
      <c r="D41" s="102">
        <v>3231</v>
      </c>
      <c r="E41" s="105" t="s">
        <v>184</v>
      </c>
      <c r="F41" s="111"/>
      <c r="G41" s="106">
        <f>SUM(G42:G43)</f>
        <v>50726.65737607007</v>
      </c>
      <c r="H41" s="107"/>
      <c r="I41" s="135"/>
    </row>
    <row r="42" spans="1:9" x14ac:dyDescent="0.25">
      <c r="A42" s="101"/>
      <c r="B42" s="120" t="s">
        <v>185</v>
      </c>
      <c r="C42" s="120" t="s">
        <v>186</v>
      </c>
      <c r="D42" s="109">
        <v>32313</v>
      </c>
      <c r="E42" s="136" t="s">
        <v>187</v>
      </c>
      <c r="F42" s="111" t="s">
        <v>188</v>
      </c>
      <c r="G42" s="112">
        <v>159.26737009755126</v>
      </c>
      <c r="H42" s="121" t="s">
        <v>117</v>
      </c>
      <c r="I42" s="114" t="s">
        <v>118</v>
      </c>
    </row>
    <row r="43" spans="1:9" x14ac:dyDescent="0.25">
      <c r="A43" s="101"/>
      <c r="B43" s="120" t="s">
        <v>189</v>
      </c>
      <c r="C43" s="120" t="s">
        <v>190</v>
      </c>
      <c r="D43" s="109">
        <v>32319</v>
      </c>
      <c r="E43" s="111" t="s">
        <v>191</v>
      </c>
      <c r="F43" s="111" t="s">
        <v>192</v>
      </c>
      <c r="G43" s="112">
        <v>50567.39000597252</v>
      </c>
      <c r="H43" s="113"/>
      <c r="I43" s="114" t="s">
        <v>159</v>
      </c>
    </row>
    <row r="44" spans="1:9" x14ac:dyDescent="0.25">
      <c r="A44" s="101"/>
      <c r="B44" s="102"/>
      <c r="C44" s="102"/>
      <c r="D44" s="102">
        <v>3232</v>
      </c>
      <c r="E44" s="126" t="s">
        <v>193</v>
      </c>
      <c r="F44" s="111"/>
      <c r="G44" s="106">
        <f>SUM(G45:G45)</f>
        <v>60647.56</v>
      </c>
      <c r="H44" s="107"/>
      <c r="I44" s="135"/>
    </row>
    <row r="45" spans="1:9" ht="24.75" x14ac:dyDescent="0.25">
      <c r="A45" s="101"/>
      <c r="B45" s="120" t="s">
        <v>194</v>
      </c>
      <c r="C45" s="109" t="s">
        <v>195</v>
      </c>
      <c r="D45" s="120">
        <v>32321</v>
      </c>
      <c r="E45" s="115" t="s">
        <v>196</v>
      </c>
      <c r="F45" s="111" t="s">
        <v>197</v>
      </c>
      <c r="G45" s="112">
        <v>60647.56</v>
      </c>
      <c r="H45" s="121" t="s">
        <v>117</v>
      </c>
      <c r="I45" s="114" t="s">
        <v>118</v>
      </c>
    </row>
    <row r="46" spans="1:9" x14ac:dyDescent="0.25">
      <c r="A46" s="101"/>
      <c r="B46" s="102"/>
      <c r="C46" s="102"/>
      <c r="D46" s="102">
        <v>3234</v>
      </c>
      <c r="E46" s="105" t="s">
        <v>198</v>
      </c>
      <c r="F46" s="111"/>
      <c r="G46" s="106">
        <f>SUM(G47:G50)</f>
        <v>13179.998976707147</v>
      </c>
      <c r="H46" s="107"/>
      <c r="I46" s="118"/>
    </row>
    <row r="47" spans="1:9" x14ac:dyDescent="0.25">
      <c r="A47" s="101"/>
      <c r="B47" s="109" t="s">
        <v>199</v>
      </c>
      <c r="C47" s="109" t="s">
        <v>200</v>
      </c>
      <c r="D47" s="109">
        <v>32341</v>
      </c>
      <c r="E47" s="111" t="s">
        <v>201</v>
      </c>
      <c r="F47" s="111" t="s">
        <v>202</v>
      </c>
      <c r="G47" s="112">
        <v>1592.6737009755125</v>
      </c>
      <c r="H47" s="121" t="s">
        <v>117</v>
      </c>
      <c r="I47" s="114" t="s">
        <v>118</v>
      </c>
    </row>
    <row r="48" spans="1:9" x14ac:dyDescent="0.25">
      <c r="A48" s="101"/>
      <c r="B48" s="109" t="s">
        <v>203</v>
      </c>
      <c r="C48" s="109" t="s">
        <v>204</v>
      </c>
      <c r="D48" s="109">
        <v>32342</v>
      </c>
      <c r="E48" s="111" t="s">
        <v>205</v>
      </c>
      <c r="F48" s="111" t="s">
        <v>206</v>
      </c>
      <c r="G48" s="112">
        <f>5966.9+13180-8754.08</f>
        <v>10392.820000000002</v>
      </c>
      <c r="H48" s="125" t="s">
        <v>158</v>
      </c>
      <c r="I48" s="114" t="s">
        <v>118</v>
      </c>
    </row>
    <row r="49" spans="1:9" x14ac:dyDescent="0.25">
      <c r="A49" s="101"/>
      <c r="B49" s="109" t="s">
        <v>207</v>
      </c>
      <c r="C49" s="109" t="s">
        <v>208</v>
      </c>
      <c r="D49" s="120">
        <v>32343</v>
      </c>
      <c r="E49" s="128" t="s">
        <v>209</v>
      </c>
      <c r="F49" s="111" t="s">
        <v>210</v>
      </c>
      <c r="G49" s="112">
        <v>398.16842524387812</v>
      </c>
      <c r="H49" s="125" t="s">
        <v>158</v>
      </c>
      <c r="I49" s="114" t="s">
        <v>118</v>
      </c>
    </row>
    <row r="50" spans="1:9" x14ac:dyDescent="0.25">
      <c r="A50" s="101"/>
      <c r="B50" s="109" t="s">
        <v>211</v>
      </c>
      <c r="C50" s="109" t="s">
        <v>212</v>
      </c>
      <c r="D50" s="109">
        <v>32344</v>
      </c>
      <c r="E50" s="111" t="s">
        <v>213</v>
      </c>
      <c r="F50" s="111" t="s">
        <v>214</v>
      </c>
      <c r="G50" s="112">
        <v>796.33685048775624</v>
      </c>
      <c r="H50" s="121" t="s">
        <v>117</v>
      </c>
      <c r="I50" s="114" t="s">
        <v>118</v>
      </c>
    </row>
    <row r="51" spans="1:9" x14ac:dyDescent="0.25">
      <c r="A51" s="101"/>
      <c r="B51" s="102"/>
      <c r="C51" s="102"/>
      <c r="D51" s="102">
        <v>3235</v>
      </c>
      <c r="E51" s="137" t="s">
        <v>215</v>
      </c>
      <c r="F51" s="111"/>
      <c r="G51" s="106">
        <f>SUM(G52)</f>
        <v>132.72280841462606</v>
      </c>
      <c r="H51" s="129"/>
      <c r="I51" s="118"/>
    </row>
    <row r="52" spans="1:9" x14ac:dyDescent="0.25">
      <c r="A52" s="138"/>
      <c r="B52" s="109" t="s">
        <v>216</v>
      </c>
      <c r="C52" s="109" t="s">
        <v>217</v>
      </c>
      <c r="D52" s="109">
        <v>32353</v>
      </c>
      <c r="E52" s="139" t="s">
        <v>218</v>
      </c>
      <c r="F52" s="111" t="s">
        <v>219</v>
      </c>
      <c r="G52" s="112">
        <v>132.72280841462606</v>
      </c>
      <c r="H52" s="121" t="s">
        <v>117</v>
      </c>
      <c r="I52" s="114" t="s">
        <v>118</v>
      </c>
    </row>
    <row r="53" spans="1:9" x14ac:dyDescent="0.25">
      <c r="A53" s="101"/>
      <c r="B53" s="102"/>
      <c r="C53" s="102"/>
      <c r="D53" s="102">
        <v>3236</v>
      </c>
      <c r="E53" s="126" t="s">
        <v>220</v>
      </c>
      <c r="F53" s="111"/>
      <c r="G53" s="106">
        <f>SUM(G54:G55)</f>
        <v>1167.9607140487094</v>
      </c>
      <c r="H53" s="107"/>
      <c r="I53" s="135"/>
    </row>
    <row r="54" spans="1:9" x14ac:dyDescent="0.25">
      <c r="A54" s="101"/>
      <c r="B54" s="120" t="s">
        <v>221</v>
      </c>
      <c r="C54" s="109" t="s">
        <v>222</v>
      </c>
      <c r="D54" s="120">
        <v>32361</v>
      </c>
      <c r="E54" s="128" t="s">
        <v>223</v>
      </c>
      <c r="F54" s="111" t="s">
        <v>224</v>
      </c>
      <c r="G54" s="112">
        <v>1061.7824673170085</v>
      </c>
      <c r="H54" s="125" t="s">
        <v>158</v>
      </c>
      <c r="I54" s="114" t="s">
        <v>118</v>
      </c>
    </row>
    <row r="55" spans="1:9" x14ac:dyDescent="0.25">
      <c r="A55" s="101"/>
      <c r="B55" s="120" t="s">
        <v>225</v>
      </c>
      <c r="C55" s="109" t="s">
        <v>226</v>
      </c>
      <c r="D55" s="120">
        <v>32363</v>
      </c>
      <c r="E55" s="128" t="s">
        <v>227</v>
      </c>
      <c r="F55" s="111" t="s">
        <v>228</v>
      </c>
      <c r="G55" s="112">
        <v>106.17824673170084</v>
      </c>
      <c r="H55" s="125" t="s">
        <v>158</v>
      </c>
      <c r="I55" s="114" t="s">
        <v>118</v>
      </c>
    </row>
    <row r="56" spans="1:9" x14ac:dyDescent="0.25">
      <c r="A56" s="101"/>
      <c r="B56" s="102"/>
      <c r="C56" s="102"/>
      <c r="D56" s="102">
        <v>3292</v>
      </c>
      <c r="E56" s="141" t="s">
        <v>230</v>
      </c>
      <c r="F56" s="111"/>
      <c r="G56" s="106">
        <f>SUM(G57)</f>
        <v>2853.54038091446</v>
      </c>
      <c r="H56" s="107"/>
      <c r="I56" s="135"/>
    </row>
    <row r="57" spans="1:9" x14ac:dyDescent="0.25">
      <c r="A57" s="101"/>
      <c r="B57" s="109" t="s">
        <v>231</v>
      </c>
      <c r="C57" s="109" t="s">
        <v>232</v>
      </c>
      <c r="D57" s="109">
        <v>32922</v>
      </c>
      <c r="E57" s="111" t="s">
        <v>233</v>
      </c>
      <c r="F57" s="111" t="s">
        <v>234</v>
      </c>
      <c r="G57" s="112">
        <v>2853.54038091446</v>
      </c>
      <c r="H57" s="125" t="s">
        <v>158</v>
      </c>
      <c r="I57" s="114" t="s">
        <v>159</v>
      </c>
    </row>
    <row r="58" spans="1:9" x14ac:dyDescent="0.25">
      <c r="A58" s="101"/>
      <c r="B58" s="104"/>
      <c r="C58" s="104"/>
      <c r="D58" s="103">
        <v>424</v>
      </c>
      <c r="E58" s="142" t="s">
        <v>235</v>
      </c>
      <c r="F58" s="133"/>
      <c r="G58" s="143">
        <f>SUM(G59)</f>
        <v>7200</v>
      </c>
      <c r="H58" s="144"/>
      <c r="I58" s="134"/>
    </row>
    <row r="59" spans="1:9" x14ac:dyDescent="0.25">
      <c r="A59" s="101"/>
      <c r="B59" s="109" t="s">
        <v>236</v>
      </c>
      <c r="C59" s="109" t="s">
        <v>237</v>
      </c>
      <c r="D59" s="109">
        <v>42411</v>
      </c>
      <c r="E59" s="139" t="s">
        <v>252</v>
      </c>
      <c r="F59" s="111" t="s">
        <v>238</v>
      </c>
      <c r="G59" s="112">
        <v>7200</v>
      </c>
      <c r="H59" s="140" t="s">
        <v>229</v>
      </c>
      <c r="I59" s="114" t="s">
        <v>118</v>
      </c>
    </row>
    <row r="60" spans="1:9" x14ac:dyDescent="0.25">
      <c r="A60" s="101"/>
      <c r="B60" s="109"/>
      <c r="C60" s="109" t="s">
        <v>258</v>
      </c>
      <c r="D60" s="109"/>
      <c r="E60" s="158" t="s">
        <v>253</v>
      </c>
      <c r="F60" s="111"/>
      <c r="G60" s="159">
        <v>35254.952000000005</v>
      </c>
      <c r="H60" s="140" t="s">
        <v>158</v>
      </c>
      <c r="I60" s="114" t="s">
        <v>257</v>
      </c>
    </row>
    <row r="61" spans="1:9" x14ac:dyDescent="0.25">
      <c r="A61" s="101"/>
      <c r="B61" s="109"/>
      <c r="C61" s="109" t="s">
        <v>251</v>
      </c>
      <c r="D61" s="109"/>
      <c r="E61" s="158" t="s">
        <v>254</v>
      </c>
      <c r="F61" s="111"/>
      <c r="G61" s="159">
        <v>20072.400000000001</v>
      </c>
      <c r="H61" s="140" t="s">
        <v>158</v>
      </c>
      <c r="I61" s="114" t="s">
        <v>118</v>
      </c>
    </row>
    <row r="62" spans="1:9" x14ac:dyDescent="0.25">
      <c r="A62" s="101"/>
      <c r="B62" s="109"/>
      <c r="C62" s="109" t="s">
        <v>259</v>
      </c>
      <c r="D62" s="109"/>
      <c r="E62" s="158" t="s">
        <v>255</v>
      </c>
      <c r="F62" s="111"/>
      <c r="G62" s="112">
        <v>3979.56</v>
      </c>
      <c r="H62" s="140" t="s">
        <v>158</v>
      </c>
      <c r="I62" s="114" t="s">
        <v>118</v>
      </c>
    </row>
    <row r="63" spans="1:9" x14ac:dyDescent="0.25">
      <c r="A63" s="101"/>
      <c r="B63" s="109"/>
      <c r="C63" s="109" t="s">
        <v>260</v>
      </c>
      <c r="D63" s="109"/>
      <c r="E63" s="158" t="s">
        <v>256</v>
      </c>
      <c r="F63" s="111"/>
      <c r="G63" s="112">
        <v>12303.704</v>
      </c>
      <c r="H63" s="140" t="s">
        <v>158</v>
      </c>
      <c r="I63" s="114" t="s">
        <v>118</v>
      </c>
    </row>
    <row r="64" spans="1:9" ht="64.5" customHeight="1" x14ac:dyDescent="0.25">
      <c r="A64" s="101"/>
      <c r="B64" s="182"/>
      <c r="C64" s="182"/>
      <c r="D64" s="182"/>
      <c r="E64" s="182"/>
      <c r="F64" s="182"/>
      <c r="G64" s="182"/>
      <c r="H64" s="182"/>
      <c r="I64" s="182"/>
    </row>
    <row r="65" spans="1:9" x14ac:dyDescent="0.25">
      <c r="A65" s="101"/>
      <c r="B65" s="145"/>
      <c r="C65" s="145"/>
      <c r="D65" s="145"/>
      <c r="E65" s="146"/>
      <c r="F65" s="146"/>
      <c r="G65" s="147"/>
      <c r="H65" s="148"/>
      <c r="I65" s="149"/>
    </row>
    <row r="66" spans="1:9" x14ac:dyDescent="0.25">
      <c r="B66" s="145"/>
      <c r="C66" s="145"/>
      <c r="D66" s="99"/>
      <c r="E66" s="150" t="s">
        <v>239</v>
      </c>
      <c r="F66" s="150"/>
      <c r="G66" s="147"/>
      <c r="H66" s="151"/>
      <c r="I66" s="150" t="s">
        <v>240</v>
      </c>
    </row>
    <row r="67" spans="1:9" x14ac:dyDescent="0.25">
      <c r="B67" s="99"/>
      <c r="C67" s="99"/>
      <c r="D67" s="99"/>
      <c r="E67" s="99" t="s">
        <v>241</v>
      </c>
      <c r="F67" s="152"/>
      <c r="G67" s="147"/>
      <c r="H67" s="151"/>
      <c r="I67" s="152" t="s">
        <v>241</v>
      </c>
    </row>
    <row r="68" spans="1:9" x14ac:dyDescent="0.25">
      <c r="B68" s="145"/>
      <c r="C68" s="145"/>
      <c r="D68" s="99"/>
      <c r="E68" s="153" t="s">
        <v>242</v>
      </c>
      <c r="F68" s="153"/>
      <c r="G68" s="147"/>
      <c r="H68" s="151"/>
      <c r="I68" s="154" t="s">
        <v>243</v>
      </c>
    </row>
  </sheetData>
  <mergeCells count="12">
    <mergeCell ref="E15:E16"/>
    <mergeCell ref="B64:I64"/>
    <mergeCell ref="B9:I9"/>
    <mergeCell ref="B10:I10"/>
    <mergeCell ref="B12:I12"/>
    <mergeCell ref="B14:B16"/>
    <mergeCell ref="C14:C16"/>
    <mergeCell ref="D14:D16"/>
    <mergeCell ref="F14:F16"/>
    <mergeCell ref="G14:G16"/>
    <mergeCell ref="H14:H16"/>
    <mergeCell ref="I14:I16"/>
  </mergeCells>
  <pageMargins left="0.7" right="0.7" top="0.75" bottom="0.75" header="0.3" footer="0.3"/>
  <pageSetup paperSize="9" scale="53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prema funkcijskoj kl</vt:lpstr>
      <vt:lpstr>Račun financiranja</vt:lpstr>
      <vt:lpstr>POSEBNI DIO</vt:lpstr>
      <vt:lpstr>Obrazloženje promjena </vt:lpstr>
      <vt:lpstr>plan nabave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Gojko Soldo</cp:lastModifiedBy>
  <cp:lastPrinted>2023-11-08T11:05:52Z</cp:lastPrinted>
  <dcterms:created xsi:type="dcterms:W3CDTF">2022-08-12T12:51:27Z</dcterms:created>
  <dcterms:modified xsi:type="dcterms:W3CDTF">2023-11-08T11:06:53Z</dcterms:modified>
</cp:coreProperties>
</file>